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65521" windowWidth="9690" windowHeight="6285" tabRatio="804" activeTab="0"/>
  </bookViews>
  <sheets>
    <sheet name="תרגיל" sheetId="1" r:id="rId1"/>
    <sheet name="פתרון" sheetId="2" r:id="rId2"/>
    <sheet name="פתרון חישובים" sheetId="3" r:id="rId3"/>
    <sheet name="פתרון נתונים מהרשת" sheetId="4" r:id="rId4"/>
    <sheet name="נעלי ניצן" sheetId="5" r:id="rId5"/>
    <sheet name="נעלי ניצן (פתרון)" sheetId="6" r:id="rId6"/>
    <sheet name="תרגיל 5.7" sheetId="7" r:id="rId7"/>
    <sheet name="פתרון תרגיל 5.7" sheetId="8" r:id="rId8"/>
    <sheet name="תרגיל 5.8" sheetId="9" r:id="rId9"/>
    <sheet name="פתרון תרגיל 5.8" sheetId="10" r:id="rId10"/>
    <sheet name=" תרגיל 5.6" sheetId="11" r:id="rId11"/>
    <sheet name="פתרון תרגיל 5.6" sheetId="12" r:id="rId12"/>
    <sheet name=" תרגיל 5.6 - מתקדם" sheetId="13" r:id="rId13"/>
    <sheet name="פתרון תרגיל 5.6 - מתקדם" sheetId="14" r:id="rId14"/>
  </sheets>
  <definedNames>
    <definedName name="_xlnm._FilterDatabase" localSheetId="1" hidden="1">'פתרון'!$B$3:$Q$13</definedName>
    <definedName name="_xlnm._FilterDatabase" localSheetId="0" hidden="1">'תרגיל'!$B$3:$P$13</definedName>
    <definedName name="HTML_CodePage" hidden="1">1255</definedName>
    <definedName name="HTML_Control" localSheetId="1" hidden="1">{"'כל המועדים'!$G$6:$I$12"}</definedName>
    <definedName name="HTML_Control" localSheetId="0" hidden="1">{"'כל המועדים'!$G$6:$I$12"}</definedName>
    <definedName name="HTML_Control" hidden="1">{"'כל המועדים'!$G$6:$I$12"}</definedName>
    <definedName name="HTML_Description" hidden="1">""</definedName>
    <definedName name="HTML_Email" hidden="1">""</definedName>
    <definedName name="HTML_Header" hidden="1">"כל המועדים"</definedName>
    <definedName name="HTML_LastUpdate" hidden="1">"20/09/2000"</definedName>
    <definedName name="HTML_LineAfter" hidden="1">FALSE</definedName>
    <definedName name="HTML_LineBefore" hidden="1">FALSE</definedName>
    <definedName name="HTML_Name" hidden="1">"האוניברסיטה הפתוחה"</definedName>
    <definedName name="HTML_OBDlg2" hidden="1">TRUE</definedName>
    <definedName name="HTML_OBDlg4" hidden="1">TRUE</definedName>
    <definedName name="HTML_OS" hidden="1">0</definedName>
    <definedName name="HTML_PathFile" hidden="1">"H:\word-doc\סמסטר ב2000\MyHTML.htm"</definedName>
    <definedName name="HTML_Title" hidden="1">"סטטיסטיקות לציוני בחינות ב2000"</definedName>
    <definedName name="index" localSheetId="3">'פתרון נתונים מהרשת'!$A$1:$H$17</definedName>
  </definedNames>
  <calcPr fullCalcOnLoad="1"/>
</workbook>
</file>

<file path=xl/comments1.xml><?xml version="1.0" encoding="utf-8"?>
<comments xmlns="http://schemas.openxmlformats.org/spreadsheetml/2006/main">
  <authors>
    <author>Shy</author>
  </authors>
  <commentList>
    <comment ref="M3" authorId="0">
      <text>
        <r>
          <rPr>
            <b/>
            <sz val="8"/>
            <rFont val="Tahoma"/>
            <family val="2"/>
          </rPr>
          <t>Shy:</t>
        </r>
        <r>
          <rPr>
            <sz val="8"/>
            <rFont val="Tahoma"/>
            <family val="2"/>
          </rPr>
          <t xml:space="preserve">
הסבר על אופן חישוב הציון</t>
        </r>
      </text>
    </comment>
  </commentList>
</comments>
</file>

<file path=xl/comments10.xml><?xml version="1.0" encoding="utf-8"?>
<comments xmlns="http://schemas.openxmlformats.org/spreadsheetml/2006/main">
  <authors>
    <author>דניאל פלד</author>
  </authors>
  <commentList>
    <comment ref="D5" authorId="0">
      <text>
        <r>
          <rPr>
            <sz val="8"/>
            <rFont val="Tahoma"/>
            <family val="2"/>
          </rPr>
          <t>פונקצית
RIGHT</t>
        </r>
        <r>
          <rPr>
            <sz val="8"/>
            <rFont val="Tahoma"/>
            <family val="2"/>
          </rPr>
          <t xml:space="preserve">
</t>
        </r>
      </text>
    </comment>
    <comment ref="F5" authorId="0">
      <text>
        <r>
          <rPr>
            <sz val="8"/>
            <rFont val="Tahoma"/>
            <family val="2"/>
          </rPr>
          <t>פונקצית
CONCATENATE</t>
        </r>
        <r>
          <rPr>
            <sz val="8"/>
            <rFont val="Tahoma"/>
            <family val="2"/>
          </rPr>
          <t xml:space="preserve">
</t>
        </r>
      </text>
    </comment>
    <comment ref="H5" authorId="0">
      <text>
        <r>
          <rPr>
            <sz val="8"/>
            <rFont val="Tahoma"/>
            <family val="2"/>
          </rPr>
          <t>פונקצית
TRIM</t>
        </r>
        <r>
          <rPr>
            <sz val="8"/>
            <rFont val="Tahoma"/>
            <family val="2"/>
          </rPr>
          <t xml:space="preserve">
</t>
        </r>
      </text>
    </comment>
    <comment ref="I5" authorId="0">
      <text>
        <r>
          <rPr>
            <sz val="8"/>
            <rFont val="Tahoma"/>
            <family val="2"/>
          </rPr>
          <t>פונקצית
RIGHT</t>
        </r>
        <r>
          <rPr>
            <sz val="8"/>
            <rFont val="Tahoma"/>
            <family val="2"/>
          </rPr>
          <t xml:space="preserve">
</t>
        </r>
      </text>
    </comment>
    <comment ref="J5" authorId="0">
      <text>
        <r>
          <rPr>
            <sz val="8"/>
            <rFont val="Tahoma"/>
            <family val="2"/>
          </rPr>
          <t>פונקצית
LEFT</t>
        </r>
        <r>
          <rPr>
            <sz val="8"/>
            <rFont val="Tahoma"/>
            <family val="2"/>
          </rPr>
          <t xml:space="preserve">
</t>
        </r>
      </text>
    </comment>
    <comment ref="K5" authorId="0">
      <text>
        <r>
          <rPr>
            <sz val="8"/>
            <rFont val="Tahoma"/>
            <family val="2"/>
          </rPr>
          <t>פונקצית
LEN</t>
        </r>
        <r>
          <rPr>
            <sz val="8"/>
            <rFont val="Tahoma"/>
            <family val="2"/>
          </rPr>
          <t xml:space="preserve">
</t>
        </r>
      </text>
    </comment>
    <comment ref="L5" authorId="0">
      <text>
        <r>
          <rPr>
            <sz val="8"/>
            <rFont val="Tahoma"/>
            <family val="2"/>
          </rPr>
          <t>פונקצית
SUBSTITUTE</t>
        </r>
        <r>
          <rPr>
            <sz val="8"/>
            <rFont val="Tahoma"/>
            <family val="2"/>
          </rPr>
          <t xml:space="preserve">
</t>
        </r>
      </text>
    </comment>
    <comment ref="K19" authorId="0">
      <text>
        <r>
          <rPr>
            <sz val="8"/>
            <rFont val="Tahoma"/>
            <family val="2"/>
          </rPr>
          <t>פונקצית
LEN</t>
        </r>
        <r>
          <rPr>
            <sz val="8"/>
            <rFont val="Tahoma"/>
            <family val="2"/>
          </rPr>
          <t xml:space="preserve">
</t>
        </r>
      </text>
    </comment>
    <comment ref="K20" authorId="0">
      <text>
        <r>
          <rPr>
            <sz val="8"/>
            <rFont val="Tahoma"/>
            <family val="2"/>
          </rPr>
          <t>פונקצית
FIND</t>
        </r>
        <r>
          <rPr>
            <sz val="8"/>
            <rFont val="Tahoma"/>
            <family val="2"/>
          </rPr>
          <t xml:space="preserve">
</t>
        </r>
      </text>
    </comment>
    <comment ref="K21" authorId="0">
      <text>
        <r>
          <rPr>
            <sz val="8"/>
            <rFont val="Tahoma"/>
            <family val="2"/>
          </rPr>
          <t>פונקצית
REPLACE</t>
        </r>
        <r>
          <rPr>
            <sz val="8"/>
            <rFont val="Tahoma"/>
            <family val="2"/>
          </rPr>
          <t xml:space="preserve">
</t>
        </r>
      </text>
    </comment>
    <comment ref="K22" authorId="0">
      <text>
        <r>
          <rPr>
            <sz val="8"/>
            <rFont val="Tahoma"/>
            <family val="2"/>
          </rPr>
          <t>פונקצית
EXACT
מקוננת בתוך
IF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דניאל פלד</author>
  </authors>
  <commentList>
    <comment ref="F3" authorId="0">
      <text>
        <r>
          <rPr>
            <sz val="8"/>
            <rFont val="Tahoma"/>
            <family val="2"/>
          </rPr>
          <t>השתמש בפונקציה
IF</t>
        </r>
      </text>
    </comment>
    <comment ref="G3" authorId="0">
      <text>
        <r>
          <rPr>
            <sz val="8"/>
            <rFont val="Tahoma"/>
            <family val="2"/>
          </rPr>
          <t>השתמש בפונקציה
HOUR  ו -  MINUTE</t>
        </r>
      </text>
    </comment>
    <comment ref="I3" authorId="0">
      <text>
        <r>
          <rPr>
            <sz val="8"/>
            <rFont val="Tahoma"/>
            <family val="2"/>
          </rPr>
          <t>חבר תאי שעה</t>
        </r>
      </text>
    </comment>
    <comment ref="J3" authorId="0">
      <text>
        <r>
          <rPr>
            <sz val="8"/>
            <rFont val="Tahoma"/>
            <family val="2"/>
          </rPr>
          <t>השתמש בפונקציה
TODAY</t>
        </r>
      </text>
    </comment>
    <comment ref="I16" authorId="0">
      <text>
        <r>
          <rPr>
            <sz val="8"/>
            <rFont val="Tahoma"/>
            <family val="2"/>
          </rPr>
          <t>השתמש בפונקציה
DATE</t>
        </r>
      </text>
    </comment>
    <comment ref="I17" authorId="0">
      <text>
        <r>
          <rPr>
            <sz val="8"/>
            <rFont val="Tahoma"/>
            <family val="2"/>
          </rPr>
          <t>השתמש בפונקציה
TODAY</t>
        </r>
      </text>
    </comment>
    <comment ref="I18" authorId="0">
      <text>
        <r>
          <rPr>
            <sz val="8"/>
            <rFont val="Tahoma"/>
            <family val="2"/>
          </rPr>
          <t>השתמש בפונקציה
NOW</t>
        </r>
      </text>
    </comment>
    <comment ref="I19" authorId="0">
      <text>
        <r>
          <rPr>
            <sz val="8"/>
            <rFont val="Tahoma"/>
            <family val="2"/>
          </rPr>
          <t>השתמש בפונקציה
YEAR</t>
        </r>
      </text>
    </comment>
    <comment ref="I20" authorId="0">
      <text>
        <r>
          <rPr>
            <sz val="8"/>
            <rFont val="Tahoma"/>
            <family val="2"/>
          </rPr>
          <t>השתמש בפונקציה
MONTH</t>
        </r>
      </text>
    </comment>
    <comment ref="I21" authorId="0">
      <text>
        <r>
          <rPr>
            <sz val="8"/>
            <rFont val="Tahoma"/>
            <family val="2"/>
          </rPr>
          <t>השתמש בפונקציה
DAY</t>
        </r>
      </text>
    </comment>
    <comment ref="I22" authorId="0">
      <text>
        <r>
          <rPr>
            <sz val="8"/>
            <rFont val="Tahoma"/>
            <family val="2"/>
          </rPr>
          <t>השתמש בפונקציה
WEEKDAY</t>
        </r>
      </text>
    </comment>
    <comment ref="I23" authorId="0">
      <text>
        <r>
          <rPr>
            <sz val="8"/>
            <rFont val="Tahoma"/>
            <family val="2"/>
          </rPr>
          <t>השתמש בפונקציה
DATE
מקוננת</t>
        </r>
      </text>
    </comment>
    <comment ref="I24" authorId="0">
      <text>
        <r>
          <rPr>
            <sz val="8"/>
            <rFont val="Tahoma"/>
            <family val="2"/>
          </rPr>
          <t>השתמש בפונקציה
DATE
מקוננת</t>
        </r>
      </text>
    </comment>
    <comment ref="I25" authorId="0">
      <text>
        <r>
          <rPr>
            <sz val="8"/>
            <rFont val="Tahoma"/>
            <family val="2"/>
          </rPr>
          <t>השתמש בפונקציה
TIME</t>
        </r>
      </text>
    </comment>
    <comment ref="I26" authorId="0">
      <text>
        <r>
          <rPr>
            <sz val="8"/>
            <rFont val="Tahoma"/>
            <family val="2"/>
          </rPr>
          <t>השתמש בפונקציה
HOUR</t>
        </r>
      </text>
    </comment>
    <comment ref="I27" authorId="0">
      <text>
        <r>
          <rPr>
            <sz val="8"/>
            <rFont val="Tahoma"/>
            <family val="2"/>
          </rPr>
          <t>השתמש בפונקציה
MINUTE</t>
        </r>
      </text>
    </comment>
    <comment ref="I28" authorId="0">
      <text>
        <r>
          <rPr>
            <sz val="8"/>
            <rFont val="Tahoma"/>
            <family val="2"/>
          </rPr>
          <t>השתמש בפונקציה
WEEKNUM</t>
        </r>
      </text>
    </comment>
  </commentList>
</comments>
</file>

<file path=xl/comments12.xml><?xml version="1.0" encoding="utf-8"?>
<comments xmlns="http://schemas.openxmlformats.org/spreadsheetml/2006/main">
  <authors>
    <author>דניאל פלד</author>
  </authors>
  <commentList>
    <comment ref="F3" authorId="0">
      <text>
        <r>
          <rPr>
            <sz val="8"/>
            <rFont val="Tahoma"/>
            <family val="2"/>
          </rPr>
          <t>השתמש בפונקציה
IF</t>
        </r>
      </text>
    </comment>
    <comment ref="G3" authorId="0">
      <text>
        <r>
          <rPr>
            <sz val="8"/>
            <rFont val="Tahoma"/>
            <family val="2"/>
          </rPr>
          <t>השתמש בפונקציה
HOUR  ו -  MINUTE</t>
        </r>
      </text>
    </comment>
    <comment ref="I3" authorId="0">
      <text>
        <r>
          <rPr>
            <sz val="8"/>
            <rFont val="Tahoma"/>
            <family val="2"/>
          </rPr>
          <t>חבר תאי שעה</t>
        </r>
      </text>
    </comment>
    <comment ref="J3" authorId="0">
      <text>
        <r>
          <rPr>
            <sz val="8"/>
            <rFont val="Tahoma"/>
            <family val="2"/>
          </rPr>
          <t>השתמש בפונקציה
TODAY</t>
        </r>
      </text>
    </comment>
    <comment ref="I16" authorId="0">
      <text>
        <r>
          <rPr>
            <sz val="8"/>
            <rFont val="Tahoma"/>
            <family val="2"/>
          </rPr>
          <t>השתמש בפונקציה
DATE</t>
        </r>
      </text>
    </comment>
    <comment ref="I17" authorId="0">
      <text>
        <r>
          <rPr>
            <sz val="8"/>
            <rFont val="Tahoma"/>
            <family val="2"/>
          </rPr>
          <t>השתמש בפונקציה
TODAY</t>
        </r>
      </text>
    </comment>
    <comment ref="I18" authorId="0">
      <text>
        <r>
          <rPr>
            <sz val="8"/>
            <rFont val="Tahoma"/>
            <family val="2"/>
          </rPr>
          <t>השתמש בפונקציה
NOW</t>
        </r>
      </text>
    </comment>
    <comment ref="I19" authorId="0">
      <text>
        <r>
          <rPr>
            <sz val="8"/>
            <rFont val="Tahoma"/>
            <family val="2"/>
          </rPr>
          <t>השתמש בפונקציה
YEAR</t>
        </r>
      </text>
    </comment>
    <comment ref="I20" authorId="0">
      <text>
        <r>
          <rPr>
            <sz val="8"/>
            <rFont val="Tahoma"/>
            <family val="2"/>
          </rPr>
          <t>השתמש בפונקציה
MONTH</t>
        </r>
      </text>
    </comment>
    <comment ref="I21" authorId="0">
      <text>
        <r>
          <rPr>
            <sz val="8"/>
            <rFont val="Tahoma"/>
            <family val="2"/>
          </rPr>
          <t>השתמש בפונקציה
DAY</t>
        </r>
      </text>
    </comment>
    <comment ref="I22" authorId="0">
      <text>
        <r>
          <rPr>
            <sz val="8"/>
            <rFont val="Tahoma"/>
            <family val="2"/>
          </rPr>
          <t>השתמש בפונקציה
WEEKDAY</t>
        </r>
      </text>
    </comment>
    <comment ref="I23" authorId="0">
      <text>
        <r>
          <rPr>
            <sz val="8"/>
            <rFont val="Tahoma"/>
            <family val="2"/>
          </rPr>
          <t>השתמש בפונקציה
DATE
מקוננת</t>
        </r>
      </text>
    </comment>
    <comment ref="I24" authorId="0">
      <text>
        <r>
          <rPr>
            <sz val="8"/>
            <rFont val="Tahoma"/>
            <family val="2"/>
          </rPr>
          <t>השתמש בפונקציה
DATE
מקוננת</t>
        </r>
      </text>
    </comment>
    <comment ref="I25" authorId="0">
      <text>
        <r>
          <rPr>
            <sz val="8"/>
            <rFont val="Tahoma"/>
            <family val="2"/>
          </rPr>
          <t>השתמש בפונקציה
TIME</t>
        </r>
      </text>
    </comment>
    <comment ref="I26" authorId="0">
      <text>
        <r>
          <rPr>
            <sz val="8"/>
            <rFont val="Tahoma"/>
            <family val="2"/>
          </rPr>
          <t>השתמש בפונקציה
HOUR</t>
        </r>
      </text>
    </comment>
    <comment ref="I27" authorId="0">
      <text>
        <r>
          <rPr>
            <sz val="8"/>
            <rFont val="Tahoma"/>
            <family val="2"/>
          </rPr>
          <t>השתמש בפונקציה
MINUTE</t>
        </r>
      </text>
    </comment>
    <comment ref="I28" authorId="0">
      <text>
        <r>
          <rPr>
            <sz val="8"/>
            <rFont val="Tahoma"/>
            <family val="2"/>
          </rPr>
          <t>השתמש בפונקציה
WEEKNUM</t>
        </r>
      </text>
    </comment>
  </commentList>
</comments>
</file>

<file path=xl/comments13.xml><?xml version="1.0" encoding="utf-8"?>
<comments xmlns="http://schemas.openxmlformats.org/spreadsheetml/2006/main">
  <authors>
    <author>דניאל פלד</author>
  </authors>
  <commentList>
    <comment ref="F3" authorId="0">
      <text>
        <r>
          <rPr>
            <sz val="8"/>
            <rFont val="Tahoma"/>
            <family val="2"/>
          </rPr>
          <t>בחיבור תאים + חיבור תנאי לוגי</t>
        </r>
      </text>
    </comment>
    <comment ref="G3" authorId="0">
      <text>
        <r>
          <rPr>
            <sz val="8"/>
            <rFont val="Tahoma"/>
            <family val="2"/>
          </rPr>
          <t>השתמש בפונקציה
HOUR  ו -  MINUTE</t>
        </r>
      </text>
    </comment>
    <comment ref="I3" authorId="0">
      <text>
        <r>
          <rPr>
            <sz val="8"/>
            <rFont val="Tahoma"/>
            <family val="2"/>
          </rPr>
          <t>חבר תאי שעה</t>
        </r>
      </text>
    </comment>
    <comment ref="J3" authorId="0">
      <text>
        <r>
          <rPr>
            <sz val="8"/>
            <rFont val="Tahoma"/>
            <family val="2"/>
          </rPr>
          <t>השתמש בפונקציה
TODAY</t>
        </r>
      </text>
    </comment>
    <comment ref="K3" authorId="0">
      <text>
        <r>
          <rPr>
            <sz val="8"/>
            <rFont val="Tahoma"/>
            <family val="2"/>
          </rPr>
          <t>השתמש בפונקציה
IF 
מקוננת עם פונקציות תאריך</t>
        </r>
      </text>
    </comment>
    <comment ref="M3" authorId="0">
      <text>
        <r>
          <rPr>
            <sz val="8"/>
            <rFont val="Tahoma"/>
            <family val="2"/>
          </rPr>
          <t>השתמש בפונקציה 
WEEKNUM
מקוננת</t>
        </r>
      </text>
    </comment>
  </commentList>
</comments>
</file>

<file path=xl/comments14.xml><?xml version="1.0" encoding="utf-8"?>
<comments xmlns="http://schemas.openxmlformats.org/spreadsheetml/2006/main">
  <authors>
    <author>דניאל פלד</author>
  </authors>
  <commentList>
    <comment ref="F3" authorId="0">
      <text>
        <r>
          <rPr>
            <sz val="8"/>
            <rFont val="Tahoma"/>
            <family val="2"/>
          </rPr>
          <t>בחיבור תאים + חיבור תנאי לוגי</t>
        </r>
      </text>
    </comment>
    <comment ref="G3" authorId="0">
      <text>
        <r>
          <rPr>
            <sz val="8"/>
            <rFont val="Tahoma"/>
            <family val="2"/>
          </rPr>
          <t>השתמש בפונקציה
HOUR  ו -  MINUTE</t>
        </r>
      </text>
    </comment>
    <comment ref="I3" authorId="0">
      <text>
        <r>
          <rPr>
            <sz val="8"/>
            <rFont val="Tahoma"/>
            <family val="2"/>
          </rPr>
          <t>חבר תאי שעה</t>
        </r>
      </text>
    </comment>
    <comment ref="J3" authorId="0">
      <text>
        <r>
          <rPr>
            <sz val="8"/>
            <rFont val="Tahoma"/>
            <family val="2"/>
          </rPr>
          <t>השתמש בפונקציה
TODAY</t>
        </r>
      </text>
    </comment>
    <comment ref="K3" authorId="0">
      <text>
        <r>
          <rPr>
            <sz val="8"/>
            <rFont val="Tahoma"/>
            <family val="2"/>
          </rPr>
          <t>השתמש בפונקציה
IF 
מקוננת עם פונקציות תאריך</t>
        </r>
      </text>
    </comment>
    <comment ref="M3" authorId="0">
      <text>
        <r>
          <rPr>
            <sz val="8"/>
            <rFont val="Tahoma"/>
            <family val="2"/>
          </rPr>
          <t>השתמש בפונקציה 
WEEKNUM
מקוננת</t>
        </r>
      </text>
    </comment>
  </commentList>
</comments>
</file>

<file path=xl/comments2.xml><?xml version="1.0" encoding="utf-8"?>
<comments xmlns="http://schemas.openxmlformats.org/spreadsheetml/2006/main">
  <authors>
    <author>Shy</author>
  </authors>
  <commentList>
    <comment ref="M3" authorId="0">
      <text>
        <r>
          <rPr>
            <b/>
            <sz val="8"/>
            <rFont val="Tahoma"/>
            <family val="2"/>
          </rPr>
          <t>Shy:</t>
        </r>
        <r>
          <rPr>
            <sz val="8"/>
            <rFont val="Tahoma"/>
            <family val="2"/>
          </rPr>
          <t xml:space="preserve">
הסבר על אופן חישוב הציון</t>
        </r>
      </text>
    </comment>
  </commentList>
</comments>
</file>

<file path=xl/comments9.xml><?xml version="1.0" encoding="utf-8"?>
<comments xmlns="http://schemas.openxmlformats.org/spreadsheetml/2006/main">
  <authors>
    <author>דניאל פלד</author>
  </authors>
  <commentList>
    <comment ref="D5" authorId="0">
      <text>
        <r>
          <rPr>
            <sz val="8"/>
            <rFont val="Tahoma"/>
            <family val="2"/>
          </rPr>
          <t>פונקצית
RIGHT</t>
        </r>
        <r>
          <rPr>
            <sz val="8"/>
            <rFont val="Tahoma"/>
            <family val="2"/>
          </rPr>
          <t xml:space="preserve">
</t>
        </r>
      </text>
    </comment>
    <comment ref="F5" authorId="0">
      <text>
        <r>
          <rPr>
            <sz val="8"/>
            <rFont val="Tahoma"/>
            <family val="2"/>
          </rPr>
          <t>פונקצית
CONCATENATE</t>
        </r>
        <r>
          <rPr>
            <sz val="8"/>
            <rFont val="Tahoma"/>
            <family val="2"/>
          </rPr>
          <t xml:space="preserve">
</t>
        </r>
      </text>
    </comment>
    <comment ref="H5" authorId="0">
      <text>
        <r>
          <rPr>
            <sz val="8"/>
            <rFont val="Tahoma"/>
            <family val="2"/>
          </rPr>
          <t>פונקצית
TRIM</t>
        </r>
        <r>
          <rPr>
            <sz val="8"/>
            <rFont val="Tahoma"/>
            <family val="2"/>
          </rPr>
          <t xml:space="preserve">
</t>
        </r>
      </text>
    </comment>
    <comment ref="I5" authorId="0">
      <text>
        <r>
          <rPr>
            <sz val="8"/>
            <rFont val="Tahoma"/>
            <family val="2"/>
          </rPr>
          <t>פונקצית
RIGHT</t>
        </r>
        <r>
          <rPr>
            <sz val="8"/>
            <rFont val="Tahoma"/>
            <family val="2"/>
          </rPr>
          <t xml:space="preserve">
</t>
        </r>
      </text>
    </comment>
    <comment ref="J5" authorId="0">
      <text>
        <r>
          <rPr>
            <sz val="8"/>
            <rFont val="Tahoma"/>
            <family val="2"/>
          </rPr>
          <t>פונקצית
LEFT</t>
        </r>
        <r>
          <rPr>
            <sz val="8"/>
            <rFont val="Tahoma"/>
            <family val="2"/>
          </rPr>
          <t xml:space="preserve">
</t>
        </r>
      </text>
    </comment>
    <comment ref="K5" authorId="0">
      <text>
        <r>
          <rPr>
            <sz val="8"/>
            <rFont val="Tahoma"/>
            <family val="2"/>
          </rPr>
          <t>פונקצית
LEN</t>
        </r>
        <r>
          <rPr>
            <sz val="8"/>
            <rFont val="Tahoma"/>
            <family val="2"/>
          </rPr>
          <t xml:space="preserve">
</t>
        </r>
      </text>
    </comment>
    <comment ref="L5" authorId="0">
      <text>
        <r>
          <rPr>
            <sz val="8"/>
            <rFont val="Tahoma"/>
            <family val="2"/>
          </rPr>
          <t>פונקצית
SUBSTITUTE</t>
        </r>
        <r>
          <rPr>
            <sz val="8"/>
            <rFont val="Tahoma"/>
            <family val="2"/>
          </rPr>
          <t xml:space="preserve">
</t>
        </r>
      </text>
    </comment>
    <comment ref="K19" authorId="0">
      <text>
        <r>
          <rPr>
            <sz val="8"/>
            <rFont val="Tahoma"/>
            <family val="2"/>
          </rPr>
          <t>פונקצית
LEN</t>
        </r>
        <r>
          <rPr>
            <sz val="8"/>
            <rFont val="Tahoma"/>
            <family val="2"/>
          </rPr>
          <t xml:space="preserve">
</t>
        </r>
      </text>
    </comment>
    <comment ref="K20" authorId="0">
      <text>
        <r>
          <rPr>
            <sz val="8"/>
            <rFont val="Tahoma"/>
            <family val="2"/>
          </rPr>
          <t>פונקצית
FIND</t>
        </r>
        <r>
          <rPr>
            <sz val="8"/>
            <rFont val="Tahoma"/>
            <family val="2"/>
          </rPr>
          <t xml:space="preserve">
</t>
        </r>
      </text>
    </comment>
    <comment ref="K21" authorId="0">
      <text>
        <r>
          <rPr>
            <sz val="8"/>
            <rFont val="Tahoma"/>
            <family val="2"/>
          </rPr>
          <t>פונקצית
REPLACE</t>
        </r>
        <r>
          <rPr>
            <sz val="8"/>
            <rFont val="Tahoma"/>
            <family val="2"/>
          </rPr>
          <t xml:space="preserve">
</t>
        </r>
      </text>
    </comment>
    <comment ref="K22" authorId="0">
      <text>
        <r>
          <rPr>
            <sz val="8"/>
            <rFont val="Tahoma"/>
            <family val="2"/>
          </rPr>
          <t>פונקצית
EXACT
מקוננת בתוך
IF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<sst xmlns="http://schemas.openxmlformats.org/spreadsheetml/2006/main" count="888" uniqueCount="267">
  <si>
    <t>שם הסטודנט</t>
  </si>
  <si>
    <t>דניאל</t>
  </si>
  <si>
    <t>טלי</t>
  </si>
  <si>
    <t>יעל</t>
  </si>
  <si>
    <t>מיכל</t>
  </si>
  <si>
    <t>קרן</t>
  </si>
  <si>
    <t>רמי</t>
  </si>
  <si>
    <t>שרון</t>
  </si>
  <si>
    <t>מגדר</t>
  </si>
  <si>
    <t>ציון ת. 1</t>
  </si>
  <si>
    <t>ציון ת. 2</t>
  </si>
  <si>
    <t>ציון ת. 3</t>
  </si>
  <si>
    <t>ממוצע  תרגילים</t>
  </si>
  <si>
    <t>ציון פרויקט</t>
  </si>
  <si>
    <t>ציון בחינה</t>
  </si>
  <si>
    <t>ציון סופי</t>
  </si>
  <si>
    <t>ציון במילים</t>
  </si>
  <si>
    <t>ז</t>
  </si>
  <si>
    <t>נ</t>
  </si>
  <si>
    <t>שחר</t>
  </si>
  <si>
    <t xml:space="preserve">ממוצע  כיתתי </t>
  </si>
  <si>
    <t>חציון</t>
  </si>
  <si>
    <t>שכיח</t>
  </si>
  <si>
    <t>מקסימום</t>
  </si>
  <si>
    <t>מינימום</t>
  </si>
  <si>
    <t>משקל תרגיל 1</t>
  </si>
  <si>
    <t>משקל תרגיל 2</t>
  </si>
  <si>
    <t>משקל תרגיל 3</t>
  </si>
  <si>
    <t>משקל פרויקט</t>
  </si>
  <si>
    <t>משקל מבחן</t>
  </si>
  <si>
    <t>סה"כ</t>
  </si>
  <si>
    <t>מ-</t>
  </si>
  <si>
    <t>עד</t>
  </si>
  <si>
    <t>נכשל</t>
  </si>
  <si>
    <t>עובר</t>
  </si>
  <si>
    <t>מצטיין</t>
  </si>
  <si>
    <t>`</t>
  </si>
  <si>
    <t>שלחו תרגיל/ נבחנו</t>
  </si>
  <si>
    <t>ס"ה סטודנטים</t>
  </si>
  <si>
    <t>נשים מצטיינות</t>
  </si>
  <si>
    <t>נשים או מצטיינים</t>
  </si>
  <si>
    <t>ת.ז.</t>
  </si>
  <si>
    <t>תרגול באקסל</t>
  </si>
  <si>
    <t>נתונים</t>
  </si>
  <si>
    <t>חישובים</t>
  </si>
  <si>
    <t>טבלת משקלות</t>
  </si>
  <si>
    <t>טבלת עזר</t>
  </si>
  <si>
    <t>מיקוד</t>
  </si>
  <si>
    <t>טלפון</t>
  </si>
  <si>
    <t>מתוכם:</t>
  </si>
  <si>
    <t>ממוצע של תת-אוכלוסיה</t>
  </si>
  <si>
    <t>מצטיינים</t>
  </si>
  <si>
    <t>נכשלים</t>
  </si>
  <si>
    <t>עוברים</t>
  </si>
  <si>
    <t>חיפוש</t>
  </si>
  <si>
    <t>דירוג</t>
  </si>
  <si>
    <t>חישובים נוספים</t>
  </si>
  <si>
    <t>סטיית תקן בציון הסופי</t>
  </si>
  <si>
    <t>שונות בציון הסופי</t>
  </si>
  <si>
    <t>הציון הסופי השני הגבוה ביותר</t>
  </si>
  <si>
    <t>הציון הסופי השלישי הנמוך ביותר</t>
  </si>
  <si>
    <t>הזן ת.ז. 
לתא B40</t>
  </si>
  <si>
    <t>השם של הסטודנט עם הציון הגבוה ביותר</t>
  </si>
  <si>
    <t>השם של הסטודנט עם הציון הנמוך ביותר</t>
  </si>
  <si>
    <t>היפר-קישור לאתר הקורס</t>
  </si>
  <si>
    <t>לאתר הקורס</t>
  </si>
  <si>
    <t>התאריך והזמן הנוכחיים</t>
  </si>
  <si>
    <t>שערי חליפין יציגים</t>
  </si>
  <si>
    <t xml:space="preserve">05.12.2008 :שינוי אחרון </t>
  </si>
  <si>
    <t xml:space="preserve">גרף  </t>
  </si>
  <si>
    <t>שינוי יומי</t>
  </si>
  <si>
    <t>השער</t>
  </si>
  <si>
    <t>המדינה</t>
  </si>
  <si>
    <t xml:space="preserve"> יחידה</t>
  </si>
  <si>
    <t>מטבע</t>
  </si>
  <si>
    <t xml:space="preserve">ארצות הברית </t>
  </si>
  <si>
    <t xml:space="preserve">דולר </t>
  </si>
  <si>
    <t xml:space="preserve">בריטניה </t>
  </si>
  <si>
    <t xml:space="preserve">ליש"ט </t>
  </si>
  <si>
    <t xml:space="preserve">יפן </t>
  </si>
  <si>
    <t xml:space="preserve">יין </t>
  </si>
  <si>
    <t xml:space="preserve">האיחוד המוניטרי האירופי </t>
  </si>
  <si>
    <t xml:space="preserve">אירו </t>
  </si>
  <si>
    <t xml:space="preserve">אוסטרליה </t>
  </si>
  <si>
    <t xml:space="preserve">קנדה </t>
  </si>
  <si>
    <t xml:space="preserve">דנמרק </t>
  </si>
  <si>
    <t xml:space="preserve">כתר </t>
  </si>
  <si>
    <t xml:space="preserve">נורווגיה </t>
  </si>
  <si>
    <t xml:space="preserve">דרום אפריקה </t>
  </si>
  <si>
    <t xml:space="preserve">רנד </t>
  </si>
  <si>
    <t xml:space="preserve">שוודיה </t>
  </si>
  <si>
    <t xml:space="preserve">שוויץ </t>
  </si>
  <si>
    <t xml:space="preserve">פרנק </t>
  </si>
  <si>
    <t xml:space="preserve">ירדן-שטרי כסף </t>
  </si>
  <si>
    <t xml:space="preserve">דינר </t>
  </si>
  <si>
    <t xml:space="preserve">לבנון-שטרי כסף </t>
  </si>
  <si>
    <t xml:space="preserve">לירה </t>
  </si>
  <si>
    <t xml:space="preserve">מצרים-שטרי כסף </t>
  </si>
  <si>
    <t>נעלי ניצן</t>
  </si>
  <si>
    <t>שם הפריט</t>
  </si>
  <si>
    <t>סוג</t>
  </si>
  <si>
    <t>מחיר לצרכן ללא מע"מ</t>
  </si>
  <si>
    <t>כמות במלאי</t>
  </si>
  <si>
    <t>ערך המלאי</t>
  </si>
  <si>
    <t>התראת עודף במלאי</t>
  </si>
  <si>
    <t>שיעור הנחה לצרכן</t>
  </si>
  <si>
    <t>מחיר לצרכן לאחר הנחה כולל מע"מ</t>
  </si>
  <si>
    <t>נייקי 920</t>
  </si>
  <si>
    <t>ריצה נשים</t>
  </si>
  <si>
    <t>ניו בלנס 605</t>
  </si>
  <si>
    <t>ריצה גברים</t>
  </si>
  <si>
    <t>נייקי 815</t>
  </si>
  <si>
    <t>הליכה גברים</t>
  </si>
  <si>
    <t>טניס ילדים</t>
  </si>
  <si>
    <t>ממוצע</t>
  </si>
  <si>
    <t>הכמות במלאי של פריטים מסוג:</t>
  </si>
  <si>
    <t>סוג מוצר</t>
  </si>
  <si>
    <t>הנחה</t>
  </si>
  <si>
    <t>ריצה ילדים</t>
  </si>
  <si>
    <t>טניס נשים</t>
  </si>
  <si>
    <t>טניס גברים</t>
  </si>
  <si>
    <t>הליכה ילדים</t>
  </si>
  <si>
    <t>הליכה נשים</t>
  </si>
  <si>
    <t>קרוקס</t>
  </si>
  <si>
    <t>תאי עזר</t>
  </si>
  <si>
    <t>מע"מ</t>
  </si>
  <si>
    <t>התראה לעודפי מלאי:</t>
  </si>
  <si>
    <t>מעל כמות</t>
  </si>
  <si>
    <t>תופיע ההודעה</t>
  </si>
  <si>
    <t>מוצר מועדף</t>
  </si>
  <si>
    <t>נייקי 800</t>
  </si>
  <si>
    <t>ניו בלנס 625</t>
  </si>
  <si>
    <t>דיאדורה XL</t>
  </si>
  <si>
    <t>פומה 6Z</t>
  </si>
  <si>
    <t>דיאדורה KL</t>
  </si>
  <si>
    <t>פומה 13B</t>
  </si>
  <si>
    <t>נייקי 754</t>
  </si>
  <si>
    <t>ניו בלנס 555</t>
  </si>
  <si>
    <t>נייקי 987</t>
  </si>
  <si>
    <t>דיאדורה MW</t>
  </si>
  <si>
    <t>פומה 12C</t>
  </si>
  <si>
    <t>הליכה גברים סה"כ</t>
  </si>
  <si>
    <t>טניס ילדים סה"כ</t>
  </si>
  <si>
    <t>ריצה גברים סה"כ</t>
  </si>
  <si>
    <t>ריצה נשים סה"כ</t>
  </si>
  <si>
    <t>סכום כולל</t>
  </si>
  <si>
    <t>טבלת נתוני הסטודנטים בקורס</t>
  </si>
  <si>
    <t>שם פרטי ומשפחה</t>
  </si>
  <si>
    <t>מין</t>
  </si>
  <si>
    <t>קמפוס</t>
  </si>
  <si>
    <t>חילוץ שם המשפחה מתוך השם המלא</t>
  </si>
  <si>
    <t>חילוץ השם הפרטי מתוך השם המלא</t>
  </si>
  <si>
    <t>שם משפחה, מין וקמפוס</t>
  </si>
  <si>
    <t>מספר הופעות במפגשים</t>
  </si>
  <si>
    <t>ביטול תווים מיותרים בין שם פרטי למשפחה</t>
  </si>
  <si>
    <t>שתי האותיות האחרונות בשם</t>
  </si>
  <si>
    <t>שתי האותיות הראשונות בשם</t>
  </si>
  <si>
    <t>מספר התווים בשם המשפחה</t>
  </si>
  <si>
    <t>עדכון קמפוס חדש</t>
  </si>
  <si>
    <t>יעל שרביב</t>
  </si>
  <si>
    <t>בית-בירם</t>
  </si>
  <si>
    <t>קרן    זמורה</t>
  </si>
  <si>
    <t>רעננה</t>
  </si>
  <si>
    <t>שחר יאיר</t>
  </si>
  <si>
    <t>קרית חיים</t>
  </si>
  <si>
    <t>שחר רוטנברג</t>
  </si>
  <si>
    <t>ירושלים</t>
  </si>
  <si>
    <t>טלי     חדד</t>
  </si>
  <si>
    <t>הכפר הירוק</t>
  </si>
  <si>
    <t>מיכל אבוקסיס</t>
  </si>
  <si>
    <t>מיכל רווח</t>
  </si>
  <si>
    <t>שלומית ליבנה</t>
  </si>
  <si>
    <t>דניאל    פלד</t>
  </si>
  <si>
    <t>רמי שוששוילי</t>
  </si>
  <si>
    <t>מספר התווים בשם המלא של רמי (שם פרטי +משפחה)</t>
  </si>
  <si>
    <t>מספר התווים בשמה הפרטי של יעל</t>
  </si>
  <si>
    <t>שמה החדש של טלי לאחר ההחלפה</t>
  </si>
  <si>
    <t>האם מינם של שחר רוטנברג ושחר יאיר זהה?</t>
  </si>
  <si>
    <t>פלד</t>
  </si>
  <si>
    <t>זהה</t>
  </si>
  <si>
    <t>שונה</t>
  </si>
  <si>
    <t>האות האחרונה בשם</t>
  </si>
  <si>
    <t>האות הראשונה בשם</t>
  </si>
  <si>
    <t>???</t>
  </si>
  <si>
    <t>מעקב חסכונות</t>
  </si>
  <si>
    <t>שם החסכון</t>
  </si>
  <si>
    <t>זמן החיסכון בשנים</t>
  </si>
  <si>
    <t>אחוז ריבית שנתית</t>
  </si>
  <si>
    <t>תשואה שנתית</t>
  </si>
  <si>
    <t>רווח</t>
  </si>
  <si>
    <t>עצם לעתיד</t>
  </si>
  <si>
    <t>מרום</t>
  </si>
  <si>
    <t>תקווה</t>
  </si>
  <si>
    <t>עוצמה</t>
  </si>
  <si>
    <t>ביטחון</t>
  </si>
  <si>
    <t>חסך</t>
  </si>
  <si>
    <t>טבלאות להצבת תנאים</t>
  </si>
  <si>
    <t>מספר תוכניות החסכון שזמן החיסכון גבוה מ 7 שנים והתשואה השנתית גבוה מ 1500 ₪:</t>
  </si>
  <si>
    <t>פתרון:</t>
  </si>
  <si>
    <t>מהו הרווח הגבוה ביותר בקרב תכניות "עוצמה":</t>
  </si>
  <si>
    <t>פתרון</t>
  </si>
  <si>
    <t>מהי התשואה המינימלית בקרב תוכניות "עוצמה" שזמן החיסכון בהם הינו קטן מ 10 שנים:</t>
  </si>
  <si>
    <t>סה"כ הרווחים מהתוכניות בטחון ועוצמה אשר זמן החיסכון שלהם מעל 10 שנים:</t>
  </si>
  <si>
    <t>הרווח הממוצע של החברות:  עוצמה (10 שנים ומעלה) ,של חברת עצם לעתיד (15 שנה ומעלה) ושל חברת בטחון (עם תשואה שנתית קטנה מ 2000 ₪)</t>
  </si>
  <si>
    <t>סטיית התקן באחוזי הריבית של כל החברות עם זמן חסכון קטן מ 10 שנים</t>
  </si>
  <si>
    <t>האם קיים זמן חסכון גבוה מ 18 שנים?</t>
  </si>
  <si>
    <t>השונות ברווח לכל החסכונות שזמן החיסכון שלהן קטן מ - 10 וגם התשואה השנתית גדולה מ 1000</t>
  </si>
  <si>
    <t>מכפלת זמני החסכון של התכנית "עוצמה" שבה אחוז הריבית השנתי קטנה מ 5%</t>
  </si>
  <si>
    <t>&gt;7</t>
  </si>
  <si>
    <t>&gt;1500</t>
  </si>
  <si>
    <t xml:space="preserve"> =DCOUNT(A2:E14,,A17:E18)</t>
  </si>
  <si>
    <t xml:space="preserve"> =DMAX(A2:E14,E21,A21:A22)</t>
  </si>
  <si>
    <t>&lt;10</t>
  </si>
  <si>
    <t xml:space="preserve"> =DMIN(A2:E14,D26,A26:B27)</t>
  </si>
  <si>
    <t>&gt;10</t>
  </si>
  <si>
    <t xml:space="preserve"> =DSUM(A2:E14,E31,A31:B33)</t>
  </si>
  <si>
    <t>&gt;=10</t>
  </si>
  <si>
    <t>&gt;=15</t>
  </si>
  <si>
    <t xml:space="preserve"> =DAVERAGE(A2:E14,E35,A35:D38)</t>
  </si>
  <si>
    <t>&lt;2000</t>
  </si>
  <si>
    <t xml:space="preserve"> =DSTDEV(A2:E14,C41,B41:B42)</t>
  </si>
  <si>
    <t>&gt;18</t>
  </si>
  <si>
    <t xml:space="preserve"> =DGET(A2:E14,B47,B47:B48)</t>
  </si>
  <si>
    <t>&gt;1000</t>
  </si>
  <si>
    <t xml:space="preserve"> =DVAR(A2:E14,E35,A53:E56)</t>
  </si>
  <si>
    <t>&lt;5%</t>
  </si>
  <si>
    <t xml:space="preserve"> =DPRODUCT(A2:E14,B59,A59:E62)</t>
  </si>
  <si>
    <t>טבלאות מעקב תנועות רכבים</t>
  </si>
  <si>
    <t>שם הרכב</t>
  </si>
  <si>
    <t>מספר רכב</t>
  </si>
  <si>
    <t>מועד ביטוח ראשון (בעת קניית הרכב)</t>
  </si>
  <si>
    <t>שעת יציאה</t>
  </si>
  <si>
    <t>שעת הגעה משוערת</t>
  </si>
  <si>
    <t>זמן נסיעה משוער (שעות ודקות)</t>
  </si>
  <si>
    <t>זמן נסיעה משוער בשעות (שלמות)</t>
  </si>
  <si>
    <t>זמן נסיעה בפועל בשעות (שלמות)</t>
  </si>
  <si>
    <t>שעת הגעה בפועל</t>
  </si>
  <si>
    <t>גיל הרכב בשנים שלמות</t>
  </si>
  <si>
    <t>אאודי</t>
  </si>
  <si>
    <t>אופל</t>
  </si>
  <si>
    <t>ביואיק</t>
  </si>
  <si>
    <t>ג'יפ</t>
  </si>
  <si>
    <t>דייהטסו</t>
  </si>
  <si>
    <t>הונדה</t>
  </si>
  <si>
    <t>פורד</t>
  </si>
  <si>
    <t>טויוטה</t>
  </si>
  <si>
    <t>רנו</t>
  </si>
  <si>
    <t>לאנצ'יה</t>
  </si>
  <si>
    <t>נתונים כלליים של תאריך ושעה</t>
  </si>
  <si>
    <t>תאריך היום לפי הגדרות שנה, חודש ויום</t>
  </si>
  <si>
    <t>התאריך היום הוא:</t>
  </si>
  <si>
    <t>התאריך והשעה הנוכחיים הם:</t>
  </si>
  <si>
    <t>השנה הנוכחית היא:</t>
  </si>
  <si>
    <t>החודש הנוכחי בשנה הוא:</t>
  </si>
  <si>
    <t>היום הנוכחי בחודש זה הוא:</t>
  </si>
  <si>
    <t>היום הנוכחי בשבוע זה הוא:</t>
  </si>
  <si>
    <t>התאריך בעוד חודשיים מהיום הוא:</t>
  </si>
  <si>
    <t>התאריך בעוד שלושה חודשים ו 10 ימים מהיום יהיה:</t>
  </si>
  <si>
    <t>הזמן הנוכחי לפי הגדרות שעה, דקה ושנייה</t>
  </si>
  <si>
    <t>השעה הנוכחית מעוגלת ללא דקות ושניות</t>
  </si>
  <si>
    <t>הדקה הנוכחית השלמה ללא שעות ושניות</t>
  </si>
  <si>
    <t>מספרו של השבוע הנוכחי בשנה זו</t>
  </si>
  <si>
    <t>מועד חידוש
הביטוח הקרוב שיטה א'</t>
  </si>
  <si>
    <t>מועד חידוש
הביטוח הקרוב שיטה ב'</t>
  </si>
  <si>
    <t>דרך א'</t>
  </si>
  <si>
    <t>דרך ב'</t>
  </si>
  <si>
    <t>מועד חידוש
הביטוח הקרוב</t>
  </si>
</sst>
</file>

<file path=xl/styles.xml><?xml version="1.0" encoding="utf-8"?>
<styleSheet xmlns="http://schemas.openxmlformats.org/spreadsheetml/2006/main">
  <numFmts count="5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¤&quot;\ #,##0;&quot;¤&quot;\ \-#,##0"/>
    <numFmt numFmtId="165" formatCode="&quot;¤&quot;\ #,##0;[Red]&quot;¤&quot;\ \-#,##0"/>
    <numFmt numFmtId="166" formatCode="&quot;¤&quot;\ #,##0.00;&quot;¤&quot;\ \-#,##0.00"/>
    <numFmt numFmtId="167" formatCode="&quot;¤&quot;\ #,##0.00;[Red]&quot;¤&quot;\ \-#,##0.00"/>
    <numFmt numFmtId="168" formatCode="_ &quot;¤&quot;\ * #,##0_ ;_ &quot;¤&quot;\ * \-#,##0_ ;_ &quot;¤&quot;\ * &quot;-&quot;_ ;_ @_ "/>
    <numFmt numFmtId="169" formatCode="_ &quot;¤&quot;\ * #,##0.00_ ;_ &quot;¤&quot;\ * \-#,##0.00_ ;_ &quot;¤&quot;\ * &quot;-&quot;??_ ;_ @_ "/>
    <numFmt numFmtId="170" formatCode="[&lt;=9999999]###\-####;\(###\)\ ###\-####"/>
    <numFmt numFmtId="171" formatCode="00000"/>
    <numFmt numFmtId="172" formatCode="00000000\-0"/>
    <numFmt numFmtId="173" formatCode="0.000"/>
    <numFmt numFmtId="174" formatCode="#,##0.00_ ;[Red]\-#,##0.00\ "/>
    <numFmt numFmtId="175" formatCode="d/m/yy"/>
    <numFmt numFmtId="176" formatCode="[$-40D]dddd\ dd\ mmmm\ yyyy"/>
    <numFmt numFmtId="177" formatCode="[$-1010000]d/m/yy;@"/>
    <numFmt numFmtId="178" formatCode="[&lt;=9999999][$-1000000]###\-####;[$-1000000]\(###\)\ ###\-####"/>
    <numFmt numFmtId="179" formatCode="[$-1000000]00000"/>
    <numFmt numFmtId="180" formatCode="[$-1000000]00000000\-0"/>
    <numFmt numFmtId="181" formatCode="mmm\-yyyy"/>
    <numFmt numFmtId="182" formatCode="_ * #,##0.0_ ;_ * \-#,##0.0_ ;_ * &quot;-&quot;??_ ;_ @_ "/>
    <numFmt numFmtId="183" formatCode="_ * #,##0_ ;_ * \-#,##0_ ;_ * &quot;-&quot;??_ ;_ @_ "/>
    <numFmt numFmtId="184" formatCode="_ * #,##0.000_ ;_ * \-#,##0.000_ ;_ * &quot;-&quot;??_ ;_ @_ "/>
    <numFmt numFmtId="185" formatCode="0.0000"/>
    <numFmt numFmtId="186" formatCode="0.00000"/>
    <numFmt numFmtId="187" formatCode="0.000000"/>
    <numFmt numFmtId="188" formatCode="[$$-409]#,##0.00"/>
    <numFmt numFmtId="189" formatCode="[$£-809]#,##0.00"/>
    <numFmt numFmtId="190" formatCode="&quot;₪&quot;\ #,##0.00"/>
    <numFmt numFmtId="191" formatCode="0.0"/>
    <numFmt numFmtId="192" formatCode="#,##0_ ;[Red]\-#,##0\ 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£-809]#,##0"/>
    <numFmt numFmtId="197" formatCode="[$€-2]\ #,##0.00"/>
    <numFmt numFmtId="198" formatCode="[$$-409]#,##0.0"/>
    <numFmt numFmtId="199" formatCode="[$$-409]#,##0"/>
    <numFmt numFmtId="200" formatCode="[$€-2]\ #,##0"/>
    <numFmt numFmtId="201" formatCode="[$€-2]\ #,##0.00_);[Red]\([$€-2]\ #,##0.00\)"/>
    <numFmt numFmtId="202" formatCode="&quot;₪&quot;\ #,##0"/>
    <numFmt numFmtId="203" formatCode="_(&quot;$&quot;* #,##0.00_);_(&quot;$&quot;* \(#,##0.00\);_(&quot;$&quot;* &quot;-&quot;??_);_(@_)"/>
    <numFmt numFmtId="204" formatCode="[$₪-40D]\ #,##0.00"/>
    <numFmt numFmtId="205" formatCode="\י\ \ \ \ \ \ #0\ \ת\כ\נ\י\ו\ת"/>
    <numFmt numFmtId="206" formatCode="0.0000%"/>
    <numFmt numFmtId="207" formatCode="\י\ \ \ \ \ \ #0\ \ש\נ\ה"/>
    <numFmt numFmtId="208" formatCode="[$-409]h:mm\ AM/PM;@"/>
    <numFmt numFmtId="209" formatCode="[$-409]d\-mmm\-yy;@"/>
    <numFmt numFmtId="210" formatCode="[$-409]mmmm\ d\,\ yyyy;@"/>
    <numFmt numFmtId="211" formatCode="dddd"/>
    <numFmt numFmtId="212" formatCode="h:mm:ss;@"/>
    <numFmt numFmtId="213" formatCode="[$-409]d\-mmm\-yyyy;@"/>
  </numFmts>
  <fonts count="59">
    <font>
      <sz val="10"/>
      <name val="Arial"/>
      <family val="0"/>
    </font>
    <font>
      <sz val="10"/>
      <name val="Geneva"/>
      <family val="0"/>
    </font>
    <font>
      <sz val="10"/>
      <name val="MS Sans Serif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David"/>
      <family val="0"/>
    </font>
    <font>
      <b/>
      <sz val="10"/>
      <name val="Arial"/>
      <family val="2"/>
    </font>
    <font>
      <b/>
      <u val="double"/>
      <sz val="24"/>
      <color indexed="12"/>
      <name val="David"/>
      <family val="0"/>
    </font>
    <font>
      <b/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4"/>
      <color indexed="12"/>
      <name val="David"/>
      <family val="0"/>
    </font>
    <font>
      <sz val="11"/>
      <color indexed="8"/>
      <name val="Calibri"/>
      <family val="0"/>
    </font>
    <font>
      <sz val="10"/>
      <color indexed="48"/>
      <name val="Arial"/>
      <family val="2"/>
    </font>
    <font>
      <b/>
      <sz val="14"/>
      <color indexed="48"/>
      <name val="Arial"/>
      <family val="2"/>
    </font>
    <font>
      <b/>
      <sz val="10"/>
      <color indexed="14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name val="Arial"/>
      <family val="2"/>
    </font>
    <font>
      <b/>
      <sz val="18"/>
      <color indexed="8"/>
      <name val="Arial"/>
      <family val="0"/>
    </font>
    <font>
      <b/>
      <sz val="16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4"/>
      <color rgb="FF0000FF"/>
      <name val="David"/>
      <family val="0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ck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double"/>
      <top style="double"/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ck">
        <color rgb="FF0000FF"/>
      </left>
      <right style="thin">
        <color rgb="FF0000FF"/>
      </right>
      <top style="thin">
        <color rgb="FF0000FF"/>
      </top>
      <bottom style="thin">
        <color rgb="FF0000FF"/>
      </bottom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</border>
    <border>
      <left style="thin">
        <color rgb="FF0000FF"/>
      </left>
      <right style="thick">
        <color rgb="FF0000FF"/>
      </right>
      <top style="thin">
        <color rgb="FF0000FF"/>
      </top>
      <bottom style="thin">
        <color rgb="FF0000FF"/>
      </bottom>
    </border>
    <border>
      <left style="thick">
        <color rgb="FF0000FF"/>
      </left>
      <right style="thin">
        <color rgb="FF0000FF"/>
      </right>
      <top style="thin">
        <color rgb="FF0000FF"/>
      </top>
      <bottom style="thick">
        <color rgb="FF0000FF"/>
      </bottom>
    </border>
    <border>
      <left style="thin">
        <color rgb="FF0000FF"/>
      </left>
      <right style="thin">
        <color rgb="FF0000FF"/>
      </right>
      <top style="thin">
        <color rgb="FF0000FF"/>
      </top>
      <bottom style="thick">
        <color rgb="FF0000FF"/>
      </bottom>
    </border>
    <border>
      <left style="thin">
        <color rgb="FF0000FF"/>
      </left>
      <right style="thick">
        <color rgb="FF0000FF"/>
      </right>
      <top style="thin">
        <color rgb="FF0000FF"/>
      </top>
      <bottom style="thick">
        <color rgb="FF0000FF"/>
      </bottom>
    </border>
    <border>
      <left style="thick">
        <color rgb="FF0000FF"/>
      </left>
      <right style="thin">
        <color rgb="FF0000FF"/>
      </right>
      <top style="thick">
        <color rgb="FF0000FF"/>
      </top>
      <bottom style="thin">
        <color rgb="FF0000FF"/>
      </bottom>
    </border>
    <border>
      <left style="thin">
        <color rgb="FF0000FF"/>
      </left>
      <right style="thin">
        <color rgb="FF0000FF"/>
      </right>
      <top style="thick">
        <color rgb="FF0000FF"/>
      </top>
      <bottom style="thin">
        <color rgb="FF0000FF"/>
      </bottom>
    </border>
    <border>
      <left style="thin">
        <color rgb="FF0000FF"/>
      </left>
      <right style="thick">
        <color rgb="FF0000FF"/>
      </right>
      <top style="thick">
        <color rgb="FF0000FF"/>
      </top>
      <bottom style="thin">
        <color rgb="FF0000FF"/>
      </bottom>
    </border>
    <border>
      <left style="thick">
        <color rgb="FF0000FF"/>
      </left>
      <right style="thin">
        <color rgb="FF0000FF"/>
      </right>
      <top style="thin">
        <color rgb="FF0000FF"/>
      </top>
      <bottom>
        <color indexed="63"/>
      </bottom>
    </border>
    <border>
      <left style="thin">
        <color rgb="FF0000FF"/>
      </left>
      <right style="thin">
        <color rgb="FF0000FF"/>
      </right>
      <top style="thin">
        <color rgb="FF0000FF"/>
      </top>
      <bottom>
        <color indexed="63"/>
      </bottom>
    </border>
    <border>
      <left style="thin">
        <color rgb="FF0000FF"/>
      </left>
      <right style="thick">
        <color rgb="FF0000FF"/>
      </right>
      <top style="thin">
        <color rgb="FF0000FF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ck"/>
      <top style="double"/>
      <bottom style="thin"/>
    </border>
    <border>
      <left style="double"/>
      <right style="thick"/>
      <top style="thin"/>
      <bottom style="thin"/>
    </border>
    <border>
      <left style="double"/>
      <right style="thick"/>
      <top style="thin"/>
      <bottom style="double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0" fillId="0" borderId="0" applyFon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>
      <alignment horizontal="left"/>
      <protection/>
    </xf>
    <xf numFmtId="0" fontId="1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>
      <alignment horizontal="right"/>
      <protection/>
    </xf>
    <xf numFmtId="0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1" applyNumberFormat="0" applyFon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30" borderId="2" applyNumberFormat="0" applyAlignment="0" applyProtection="0"/>
    <xf numFmtId="0" fontId="54" fillId="31" borderId="0" applyNumberFormat="0" applyBorder="0" applyAlignment="0" applyProtection="0"/>
    <xf numFmtId="0" fontId="55" fillId="32" borderId="8" applyNumberFormat="0" applyAlignment="0" applyProtection="0"/>
    <xf numFmtId="0" fontId="56" fillId="0" borderId="9" applyNumberFormat="0" applyFill="0" applyAlignment="0" applyProtection="0"/>
  </cellStyleXfs>
  <cellXfs count="2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 wrapText="1"/>
    </xf>
    <xf numFmtId="2" fontId="0" fillId="0" borderId="0" xfId="0" applyNumberFormat="1" applyAlignment="1">
      <alignment/>
    </xf>
    <xf numFmtId="0" fontId="0" fillId="0" borderId="0" xfId="0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33" borderId="16" xfId="0" applyFont="1" applyFill="1" applyBorder="1" applyAlignment="1">
      <alignment horizontal="center" vertical="top" wrapText="1"/>
    </xf>
    <xf numFmtId="0" fontId="6" fillId="33" borderId="17" xfId="0" applyFont="1" applyFill="1" applyBorder="1" applyAlignment="1">
      <alignment horizontal="center" vertical="top" wrapText="1"/>
    </xf>
    <xf numFmtId="0" fontId="6" fillId="33" borderId="18" xfId="0" applyFont="1" applyFill="1" applyBorder="1" applyAlignment="1">
      <alignment horizontal="center" vertical="top" wrapText="1"/>
    </xf>
    <xf numFmtId="9" fontId="0" fillId="0" borderId="10" xfId="50" applyFont="1" applyBorder="1" applyAlignment="1">
      <alignment/>
    </xf>
    <xf numFmtId="9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180" fontId="0" fillId="0" borderId="19" xfId="0" applyNumberFormat="1" applyBorder="1" applyAlignment="1">
      <alignment/>
    </xf>
    <xf numFmtId="180" fontId="0" fillId="0" borderId="20" xfId="0" applyNumberFormat="1" applyBorder="1" applyAlignment="1">
      <alignment/>
    </xf>
    <xf numFmtId="180" fontId="0" fillId="0" borderId="21" xfId="0" applyNumberFormat="1" applyBorder="1" applyAlignment="1">
      <alignment/>
    </xf>
    <xf numFmtId="179" fontId="0" fillId="0" borderId="14" xfId="0" applyNumberFormat="1" applyBorder="1" applyAlignment="1">
      <alignment/>
    </xf>
    <xf numFmtId="179" fontId="0" fillId="0" borderId="10" xfId="0" applyNumberFormat="1" applyBorder="1" applyAlignment="1">
      <alignment/>
    </xf>
    <xf numFmtId="179" fontId="0" fillId="0" borderId="12" xfId="0" applyNumberFormat="1" applyBorder="1" applyAlignment="1">
      <alignment/>
    </xf>
    <xf numFmtId="178" fontId="0" fillId="0" borderId="10" xfId="0" applyNumberFormat="1" applyBorder="1" applyAlignment="1">
      <alignment/>
    </xf>
    <xf numFmtId="178" fontId="0" fillId="0" borderId="12" xfId="0" applyNumberFormat="1" applyBorder="1" applyAlignment="1">
      <alignment/>
    </xf>
    <xf numFmtId="178" fontId="0" fillId="0" borderId="14" xfId="0" applyNumberFormat="1" applyFont="1" applyBorder="1" applyAlignment="1">
      <alignment/>
    </xf>
    <xf numFmtId="2" fontId="0" fillId="0" borderId="14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0" xfId="0" applyFont="1" applyBorder="1" applyAlignment="1">
      <alignment/>
    </xf>
    <xf numFmtId="191" fontId="0" fillId="0" borderId="14" xfId="0" applyNumberFormat="1" applyBorder="1" applyAlignment="1">
      <alignment/>
    </xf>
    <xf numFmtId="191" fontId="0" fillId="0" borderId="10" xfId="0" applyNumberFormat="1" applyBorder="1" applyAlignment="1">
      <alignment/>
    </xf>
    <xf numFmtId="191" fontId="0" fillId="0" borderId="12" xfId="0" applyNumberFormat="1" applyBorder="1" applyAlignment="1">
      <alignment/>
    </xf>
    <xf numFmtId="0" fontId="6" fillId="0" borderId="10" xfId="0" applyFont="1" applyBorder="1" applyAlignment="1">
      <alignment horizontal="right" wrapText="1"/>
    </xf>
    <xf numFmtId="180" fontId="0" fillId="34" borderId="10" xfId="0" applyNumberFormat="1" applyFill="1" applyBorder="1" applyAlignment="1">
      <alignment/>
    </xf>
    <xf numFmtId="178" fontId="0" fillId="0" borderId="10" xfId="0" applyNumberFormat="1" applyFont="1" applyBorder="1" applyAlignment="1">
      <alignment/>
    </xf>
    <xf numFmtId="178" fontId="0" fillId="0" borderId="14" xfId="0" applyNumberFormat="1" applyBorder="1" applyAlignment="1">
      <alignment/>
    </xf>
    <xf numFmtId="22" fontId="0" fillId="0" borderId="10" xfId="0" applyNumberFormat="1" applyBorder="1" applyAlignment="1">
      <alignment/>
    </xf>
    <xf numFmtId="0" fontId="4" fillId="0" borderId="10" xfId="46" applyBorder="1" applyAlignment="1" applyProtection="1">
      <alignment/>
      <protection/>
    </xf>
    <xf numFmtId="10" fontId="0" fillId="0" borderId="0" xfId="0" applyNumberFormat="1" applyAlignment="1">
      <alignment/>
    </xf>
    <xf numFmtId="0" fontId="6" fillId="0" borderId="22" xfId="0" applyFont="1" applyFill="1" applyBorder="1" applyAlignment="1">
      <alignment horizontal="right" wrapText="1"/>
    </xf>
    <xf numFmtId="0" fontId="6" fillId="0" borderId="23" xfId="0" applyFont="1" applyFill="1" applyBorder="1" applyAlignment="1">
      <alignment horizontal="right" wrapText="1"/>
    </xf>
    <xf numFmtId="0" fontId="6" fillId="0" borderId="24" xfId="0" applyFont="1" applyFill="1" applyBorder="1" applyAlignment="1">
      <alignment horizontal="right" wrapText="1"/>
    </xf>
    <xf numFmtId="0" fontId="0" fillId="0" borderId="22" xfId="0" applyFont="1" applyFill="1" applyBorder="1" applyAlignment="1">
      <alignment horizontal="right"/>
    </xf>
    <xf numFmtId="0" fontId="0" fillId="0" borderId="23" xfId="0" applyNumberFormat="1" applyFont="1" applyFill="1" applyBorder="1" applyAlignment="1">
      <alignment horizontal="right"/>
    </xf>
    <xf numFmtId="202" fontId="0" fillId="0" borderId="23" xfId="0" applyNumberFormat="1" applyFont="1" applyFill="1" applyBorder="1" applyAlignment="1">
      <alignment horizontal="right"/>
    </xf>
    <xf numFmtId="1" fontId="0" fillId="0" borderId="23" xfId="0" applyNumberFormat="1" applyFont="1" applyFill="1" applyBorder="1" applyAlignment="1">
      <alignment horizontal="right"/>
    </xf>
    <xf numFmtId="0" fontId="0" fillId="0" borderId="23" xfId="0" applyFont="1" applyFill="1" applyBorder="1" applyAlignment="1">
      <alignment horizontal="right"/>
    </xf>
    <xf numFmtId="10" fontId="0" fillId="0" borderId="23" xfId="0" applyNumberFormat="1" applyFont="1" applyFill="1" applyBorder="1" applyAlignment="1">
      <alignment horizontal="right"/>
    </xf>
    <xf numFmtId="202" fontId="0" fillId="0" borderId="24" xfId="0" applyNumberFormat="1" applyFont="1" applyFill="1" applyBorder="1" applyAlignment="1">
      <alignment horizontal="right"/>
    </xf>
    <xf numFmtId="0" fontId="0" fillId="0" borderId="25" xfId="0" applyFont="1" applyFill="1" applyBorder="1" applyAlignment="1">
      <alignment horizontal="right"/>
    </xf>
    <xf numFmtId="0" fontId="0" fillId="0" borderId="26" xfId="0" applyNumberFormat="1" applyFont="1" applyFill="1" applyBorder="1" applyAlignment="1">
      <alignment horizontal="right"/>
    </xf>
    <xf numFmtId="202" fontId="0" fillId="0" borderId="26" xfId="0" applyNumberFormat="1" applyFont="1" applyFill="1" applyBorder="1" applyAlignment="1">
      <alignment horizontal="right"/>
    </xf>
    <xf numFmtId="1" fontId="0" fillId="0" borderId="26" xfId="0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0" fontId="0" fillId="0" borderId="26" xfId="0" applyNumberFormat="1" applyFont="1" applyFill="1" applyBorder="1" applyAlignment="1">
      <alignment horizontal="right"/>
    </xf>
    <xf numFmtId="202" fontId="0" fillId="0" borderId="27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40" fillId="0" borderId="28" xfId="0" applyFont="1" applyBorder="1" applyAlignment="1">
      <alignment/>
    </xf>
    <xf numFmtId="0" fontId="0" fillId="0" borderId="29" xfId="0" applyBorder="1" applyAlignment="1">
      <alignment/>
    </xf>
    <xf numFmtId="202" fontId="0" fillId="0" borderId="29" xfId="0" applyNumberFormat="1" applyBorder="1" applyAlignment="1">
      <alignment/>
    </xf>
    <xf numFmtId="1" fontId="0" fillId="0" borderId="29" xfId="0" applyNumberFormat="1" applyBorder="1" applyAlignment="1">
      <alignment/>
    </xf>
    <xf numFmtId="190" fontId="0" fillId="0" borderId="29" xfId="0" applyNumberFormat="1" applyBorder="1" applyAlignment="1">
      <alignment/>
    </xf>
    <xf numFmtId="10" fontId="0" fillId="0" borderId="29" xfId="0" applyNumberFormat="1" applyBorder="1" applyAlignment="1">
      <alignment/>
    </xf>
    <xf numFmtId="202" fontId="0" fillId="0" borderId="30" xfId="0" applyNumberFormat="1" applyBorder="1" applyAlignment="1">
      <alignment/>
    </xf>
    <xf numFmtId="0" fontId="40" fillId="0" borderId="22" xfId="0" applyFont="1" applyBorder="1" applyAlignment="1">
      <alignment/>
    </xf>
    <xf numFmtId="0" fontId="0" fillId="0" borderId="23" xfId="0" applyBorder="1" applyAlignment="1">
      <alignment/>
    </xf>
    <xf numFmtId="202" fontId="0" fillId="0" borderId="23" xfId="0" applyNumberFormat="1" applyBorder="1" applyAlignment="1">
      <alignment/>
    </xf>
    <xf numFmtId="1" fontId="0" fillId="0" borderId="23" xfId="0" applyNumberFormat="1" applyBorder="1" applyAlignment="1">
      <alignment/>
    </xf>
    <xf numFmtId="190" fontId="0" fillId="0" borderId="23" xfId="0" applyNumberFormat="1" applyBorder="1" applyAlignment="1">
      <alignment/>
    </xf>
    <xf numFmtId="10" fontId="0" fillId="0" borderId="23" xfId="0" applyNumberFormat="1" applyBorder="1" applyAlignment="1">
      <alignment/>
    </xf>
    <xf numFmtId="202" fontId="0" fillId="0" borderId="24" xfId="0" applyNumberFormat="1" applyBorder="1" applyAlignment="1">
      <alignment/>
    </xf>
    <xf numFmtId="0" fontId="40" fillId="0" borderId="25" xfId="0" applyFont="1" applyBorder="1" applyAlignment="1">
      <alignment/>
    </xf>
    <xf numFmtId="0" fontId="40" fillId="0" borderId="26" xfId="0" applyFont="1" applyBorder="1" applyAlignment="1">
      <alignment/>
    </xf>
    <xf numFmtId="1" fontId="0" fillId="0" borderId="26" xfId="0" applyNumberFormat="1" applyBorder="1" applyAlignment="1">
      <alignment/>
    </xf>
    <xf numFmtId="0" fontId="0" fillId="0" borderId="26" xfId="0" applyBorder="1" applyAlignment="1">
      <alignment/>
    </xf>
    <xf numFmtId="190" fontId="0" fillId="0" borderId="26" xfId="0" applyNumberFormat="1" applyBorder="1" applyAlignment="1">
      <alignment/>
    </xf>
    <xf numFmtId="10" fontId="0" fillId="0" borderId="27" xfId="0" applyNumberFormat="1" applyBorder="1" applyAlignment="1">
      <alignment/>
    </xf>
    <xf numFmtId="0" fontId="6" fillId="0" borderId="28" xfId="0" applyFont="1" applyFill="1" applyBorder="1" applyAlignment="1">
      <alignment horizontal="right" wrapText="1"/>
    </xf>
    <xf numFmtId="0" fontId="6" fillId="0" borderId="30" xfId="0" applyFont="1" applyFill="1" applyBorder="1" applyAlignment="1">
      <alignment horizontal="right" wrapText="1"/>
    </xf>
    <xf numFmtId="0" fontId="6" fillId="0" borderId="0" xfId="0" applyFont="1" applyFill="1" applyAlignment="1">
      <alignment horizontal="right"/>
    </xf>
    <xf numFmtId="10" fontId="0" fillId="0" borderId="24" xfId="0" applyNumberFormat="1" applyFont="1" applyFill="1" applyBorder="1" applyAlignment="1">
      <alignment horizontal="right"/>
    </xf>
    <xf numFmtId="0" fontId="0" fillId="0" borderId="22" xfId="0" applyNumberFormat="1" applyFont="1" applyFill="1" applyBorder="1" applyAlignment="1">
      <alignment horizontal="right"/>
    </xf>
    <xf numFmtId="10" fontId="0" fillId="0" borderId="27" xfId="0" applyNumberFormat="1" applyFont="1" applyFill="1" applyBorder="1" applyAlignment="1">
      <alignment horizontal="right"/>
    </xf>
    <xf numFmtId="0" fontId="51" fillId="0" borderId="0" xfId="0" applyFont="1" applyAlignment="1">
      <alignment/>
    </xf>
    <xf numFmtId="0" fontId="0" fillId="0" borderId="22" xfId="0" applyBorder="1" applyAlignment="1">
      <alignment/>
    </xf>
    <xf numFmtId="10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1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0" fillId="0" borderId="31" xfId="0" applyFont="1" applyFill="1" applyBorder="1" applyAlignment="1">
      <alignment horizontal="right"/>
    </xf>
    <xf numFmtId="0" fontId="0" fillId="0" borderId="32" xfId="0" applyNumberFormat="1" applyFont="1" applyFill="1" applyBorder="1" applyAlignment="1">
      <alignment horizontal="right"/>
    </xf>
    <xf numFmtId="202" fontId="0" fillId="0" borderId="32" xfId="0" applyNumberFormat="1" applyFont="1" applyFill="1" applyBorder="1" applyAlignment="1">
      <alignment horizontal="right"/>
    </xf>
    <xf numFmtId="1" fontId="0" fillId="0" borderId="32" xfId="0" applyNumberFormat="1" applyFont="1" applyFill="1" applyBorder="1" applyAlignment="1">
      <alignment horizontal="right"/>
    </xf>
    <xf numFmtId="0" fontId="0" fillId="0" borderId="32" xfId="0" applyFont="1" applyFill="1" applyBorder="1" applyAlignment="1">
      <alignment horizontal="right"/>
    </xf>
    <xf numFmtId="10" fontId="0" fillId="0" borderId="32" xfId="0" applyNumberFormat="1" applyFont="1" applyFill="1" applyBorder="1" applyAlignment="1">
      <alignment horizontal="right"/>
    </xf>
    <xf numFmtId="202" fontId="0" fillId="0" borderId="33" xfId="0" applyNumberFormat="1" applyFont="1" applyFill="1" applyBorder="1" applyAlignment="1">
      <alignment horizontal="right"/>
    </xf>
    <xf numFmtId="0" fontId="6" fillId="0" borderId="23" xfId="0" applyNumberFormat="1" applyFont="1" applyFill="1" applyBorder="1" applyAlignment="1">
      <alignment horizontal="right"/>
    </xf>
    <xf numFmtId="0" fontId="6" fillId="0" borderId="32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202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10" fontId="0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right"/>
    </xf>
    <xf numFmtId="0" fontId="6" fillId="33" borderId="34" xfId="0" applyFont="1" applyFill="1" applyBorder="1" applyAlignment="1">
      <alignment horizontal="center" vertical="center" textRotation="90" wrapText="1"/>
    </xf>
    <xf numFmtId="0" fontId="6" fillId="33" borderId="0" xfId="0" applyFont="1" applyFill="1" applyAlignment="1">
      <alignment horizontal="center" vertical="center" textRotation="90" wrapText="1"/>
    </xf>
    <xf numFmtId="0" fontId="7" fillId="0" borderId="0" xfId="0" applyFont="1" applyAlignment="1">
      <alignment horizontal="center"/>
    </xf>
    <xf numFmtId="0" fontId="8" fillId="33" borderId="35" xfId="0" applyFont="1" applyFill="1" applyBorder="1" applyAlignment="1">
      <alignment horizontal="center" vertical="center" textRotation="255"/>
    </xf>
    <xf numFmtId="0" fontId="0" fillId="33" borderId="36" xfId="0" applyFill="1" applyBorder="1" applyAlignment="1">
      <alignment horizontal="center" vertical="center" textRotation="255"/>
    </xf>
    <xf numFmtId="0" fontId="0" fillId="33" borderId="37" xfId="0" applyFill="1" applyBorder="1" applyAlignment="1">
      <alignment horizontal="center" vertical="center" textRotation="255"/>
    </xf>
    <xf numFmtId="0" fontId="8" fillId="33" borderId="10" xfId="0" applyFont="1" applyFill="1" applyBorder="1" applyAlignment="1">
      <alignment horizontal="center" vertical="center" textRotation="255"/>
    </xf>
    <xf numFmtId="0" fontId="0" fillId="33" borderId="10" xfId="0" applyFill="1" applyBorder="1" applyAlignment="1">
      <alignment horizontal="center" vertical="center" textRotation="255"/>
    </xf>
    <xf numFmtId="0" fontId="6" fillId="35" borderId="38" xfId="0" applyFont="1" applyFill="1" applyBorder="1" applyAlignment="1">
      <alignment horizontal="center"/>
    </xf>
    <xf numFmtId="0" fontId="6" fillId="35" borderId="20" xfId="0" applyFont="1" applyFill="1" applyBorder="1" applyAlignment="1">
      <alignment horizontal="center"/>
    </xf>
    <xf numFmtId="0" fontId="57" fillId="0" borderId="28" xfId="0" applyFont="1" applyBorder="1" applyAlignment="1">
      <alignment horizontal="center"/>
    </xf>
    <xf numFmtId="0" fontId="57" fillId="0" borderId="29" xfId="0" applyFont="1" applyBorder="1" applyAlignment="1">
      <alignment horizontal="center"/>
    </xf>
    <xf numFmtId="0" fontId="57" fillId="0" borderId="30" xfId="0" applyFont="1" applyBorder="1" applyAlignment="1">
      <alignment horizontal="center"/>
    </xf>
    <xf numFmtId="0" fontId="51" fillId="0" borderId="28" xfId="0" applyFont="1" applyBorder="1" applyAlignment="1">
      <alignment horizontal="center"/>
    </xf>
    <xf numFmtId="0" fontId="51" fillId="0" borderId="30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31" fillId="0" borderId="0" xfId="49" applyFont="1" applyFill="1" applyBorder="1">
      <alignment/>
      <protection/>
    </xf>
    <xf numFmtId="203" fontId="0" fillId="0" borderId="0" xfId="43" applyFont="1" applyFill="1" applyBorder="1" applyAlignment="1">
      <alignment horizontal="right"/>
    </xf>
    <xf numFmtId="0" fontId="32" fillId="36" borderId="39" xfId="49" applyFont="1" applyFill="1" applyBorder="1" applyAlignment="1">
      <alignment horizontal="center"/>
      <protection/>
    </xf>
    <xf numFmtId="0" fontId="32" fillId="36" borderId="40" xfId="49" applyFont="1" applyFill="1" applyBorder="1" applyAlignment="1">
      <alignment horizontal="center"/>
      <protection/>
    </xf>
    <xf numFmtId="0" fontId="32" fillId="36" borderId="41" xfId="49" applyFont="1" applyFill="1" applyBorder="1" applyAlignment="1">
      <alignment horizontal="center"/>
      <protection/>
    </xf>
    <xf numFmtId="0" fontId="33" fillId="37" borderId="42" xfId="49" applyFont="1" applyFill="1" applyBorder="1" applyAlignment="1">
      <alignment horizontal="center" wrapText="1"/>
      <protection/>
    </xf>
    <xf numFmtId="0" fontId="33" fillId="37" borderId="43" xfId="49" applyFont="1" applyFill="1" applyBorder="1" applyAlignment="1">
      <alignment horizontal="center" wrapText="1"/>
      <protection/>
    </xf>
    <xf numFmtId="0" fontId="0" fillId="0" borderId="14" xfId="49" applyFont="1" applyFill="1" applyBorder="1">
      <alignment/>
      <protection/>
    </xf>
    <xf numFmtId="0" fontId="0" fillId="2" borderId="14" xfId="49" applyFont="1" applyFill="1" applyBorder="1" applyAlignment="1">
      <alignment horizontal="right"/>
      <protection/>
    </xf>
    <xf numFmtId="0" fontId="0" fillId="2" borderId="14" xfId="49" applyNumberFormat="1" applyFont="1" applyFill="1" applyBorder="1" applyAlignment="1">
      <alignment horizontal="right"/>
      <protection/>
    </xf>
    <xf numFmtId="0" fontId="0" fillId="0" borderId="14" xfId="49" applyNumberFormat="1" applyFont="1" applyFill="1" applyBorder="1">
      <alignment/>
      <protection/>
    </xf>
    <xf numFmtId="0" fontId="0" fillId="2" borderId="10" xfId="49" applyNumberFormat="1" applyFill="1" applyBorder="1" applyAlignment="1">
      <alignment horizontal="right"/>
      <protection/>
    </xf>
    <xf numFmtId="0" fontId="0" fillId="0" borderId="10" xfId="49" applyFont="1" applyFill="1" applyBorder="1">
      <alignment/>
      <protection/>
    </xf>
    <xf numFmtId="0" fontId="0" fillId="34" borderId="10" xfId="49" applyFill="1" applyBorder="1" applyAlignment="1">
      <alignment horizontal="center"/>
      <protection/>
    </xf>
    <xf numFmtId="0" fontId="0" fillId="0" borderId="38" xfId="49" applyBorder="1" applyAlignment="1">
      <alignment horizontal="center"/>
      <protection/>
    </xf>
    <xf numFmtId="0" fontId="0" fillId="0" borderId="44" xfId="49" applyBorder="1" applyAlignment="1">
      <alignment horizontal="center"/>
      <protection/>
    </xf>
    <xf numFmtId="0" fontId="0" fillId="0" borderId="20" xfId="49" applyBorder="1" applyAlignment="1">
      <alignment horizontal="center"/>
      <protection/>
    </xf>
    <xf numFmtId="0" fontId="0" fillId="2" borderId="10" xfId="49" applyFill="1" applyBorder="1" applyAlignment="1">
      <alignment horizontal="right"/>
      <protection/>
    </xf>
    <xf numFmtId="0" fontId="0" fillId="0" borderId="10" xfId="49" applyBorder="1">
      <alignment/>
      <protection/>
    </xf>
    <xf numFmtId="0" fontId="0" fillId="0" borderId="10" xfId="49" applyBorder="1" applyAlignment="1">
      <alignment horizontal="center"/>
      <protection/>
    </xf>
    <xf numFmtId="0" fontId="0" fillId="0" borderId="10" xfId="49" applyFill="1" applyBorder="1">
      <alignment/>
      <protection/>
    </xf>
    <xf numFmtId="0" fontId="34" fillId="34" borderId="0" xfId="49" applyFont="1" applyFill="1" applyAlignment="1">
      <alignment horizontal="center"/>
      <protection/>
    </xf>
    <xf numFmtId="0" fontId="35" fillId="38" borderId="10" xfId="49" applyFont="1" applyFill="1" applyBorder="1" applyAlignment="1">
      <alignment wrapText="1"/>
      <protection/>
    </xf>
    <xf numFmtId="0" fontId="0" fillId="0" borderId="0" xfId="49" applyAlignment="1">
      <alignment wrapText="1"/>
      <protection/>
    </xf>
    <xf numFmtId="0" fontId="0" fillId="36" borderId="10" xfId="49" applyFill="1" applyBorder="1">
      <alignment/>
      <protection/>
    </xf>
    <xf numFmtId="10" fontId="0" fillId="0" borderId="10" xfId="51" applyNumberFormat="1" applyBorder="1" applyAlignment="1">
      <alignment/>
    </xf>
    <xf numFmtId="204" fontId="0" fillId="0" borderId="10" xfId="49" applyNumberFormat="1" applyBorder="1">
      <alignment/>
      <protection/>
    </xf>
    <xf numFmtId="0" fontId="0" fillId="39" borderId="45" xfId="49" applyFill="1" applyBorder="1" applyAlignment="1">
      <alignment horizontal="center"/>
      <protection/>
    </xf>
    <xf numFmtId="0" fontId="36" fillId="0" borderId="46" xfId="49" applyFont="1" applyBorder="1" applyAlignment="1">
      <alignment horizontal="center" vertical="center"/>
      <protection/>
    </xf>
    <xf numFmtId="0" fontId="36" fillId="0" borderId="47" xfId="49" applyFont="1" applyBorder="1" applyAlignment="1">
      <alignment horizontal="center" vertical="center"/>
      <protection/>
    </xf>
    <xf numFmtId="0" fontId="36" fillId="0" borderId="48" xfId="49" applyFont="1" applyBorder="1" applyAlignment="1">
      <alignment horizontal="center" vertical="center"/>
      <protection/>
    </xf>
    <xf numFmtId="0" fontId="0" fillId="0" borderId="49" xfId="49" applyBorder="1">
      <alignment/>
      <protection/>
    </xf>
    <xf numFmtId="0" fontId="0" fillId="0" borderId="50" xfId="49" applyBorder="1">
      <alignment/>
      <protection/>
    </xf>
    <xf numFmtId="0" fontId="36" fillId="0" borderId="51" xfId="49" applyFont="1" applyBorder="1">
      <alignment/>
      <protection/>
    </xf>
    <xf numFmtId="205" fontId="0" fillId="40" borderId="52" xfId="49" applyNumberFormat="1" applyFill="1" applyBorder="1">
      <alignment/>
      <protection/>
    </xf>
    <xf numFmtId="0" fontId="0" fillId="0" borderId="53" xfId="49" applyBorder="1">
      <alignment/>
      <protection/>
    </xf>
    <xf numFmtId="0" fontId="0" fillId="0" borderId="54" xfId="49" applyBorder="1">
      <alignment/>
      <protection/>
    </xf>
    <xf numFmtId="204" fontId="0" fillId="40" borderId="52" xfId="49" applyNumberFormat="1" applyFill="1" applyBorder="1">
      <alignment/>
      <protection/>
    </xf>
    <xf numFmtId="0" fontId="36" fillId="0" borderId="46" xfId="49" applyFont="1" applyBorder="1" applyAlignment="1">
      <alignment horizontal="center" vertical="center" wrapText="1"/>
      <protection/>
    </xf>
    <xf numFmtId="0" fontId="36" fillId="0" borderId="47" xfId="49" applyFont="1" applyBorder="1" applyAlignment="1">
      <alignment horizontal="center" vertical="center" wrapText="1"/>
      <protection/>
    </xf>
    <xf numFmtId="0" fontId="36" fillId="0" borderId="48" xfId="49" applyFont="1" applyBorder="1" applyAlignment="1">
      <alignment horizontal="center" vertical="center" wrapText="1"/>
      <protection/>
    </xf>
    <xf numFmtId="206" fontId="0" fillId="40" borderId="52" xfId="51" applyNumberFormat="1" applyFont="1" applyFill="1" applyBorder="1" applyAlignment="1">
      <alignment/>
    </xf>
    <xf numFmtId="207" fontId="0" fillId="40" borderId="52" xfId="49" applyNumberFormat="1" applyFill="1" applyBorder="1">
      <alignment/>
      <protection/>
    </xf>
    <xf numFmtId="0" fontId="0" fillId="40" borderId="52" xfId="49" applyNumberFormat="1" applyFill="1" applyBorder="1">
      <alignment/>
      <protection/>
    </xf>
    <xf numFmtId="0" fontId="0" fillId="0" borderId="10" xfId="49" applyBorder="1" applyAlignment="1">
      <alignment wrapText="1"/>
      <protection/>
    </xf>
    <xf numFmtId="0" fontId="0" fillId="39" borderId="10" xfId="49" applyFill="1" applyBorder="1">
      <alignment/>
      <protection/>
    </xf>
    <xf numFmtId="0" fontId="0" fillId="34" borderId="10" xfId="49" applyFill="1" applyBorder="1">
      <alignment/>
      <protection/>
    </xf>
    <xf numFmtId="0" fontId="38" fillId="41" borderId="10" xfId="49" applyFont="1" applyFill="1" applyBorder="1" applyAlignment="1">
      <alignment horizontal="center"/>
      <protection/>
    </xf>
    <xf numFmtId="0" fontId="12" fillId="36" borderId="10" xfId="49" applyFont="1" applyFill="1" applyBorder="1" applyAlignment="1">
      <alignment wrapText="1"/>
      <protection/>
    </xf>
    <xf numFmtId="0" fontId="39" fillId="36" borderId="10" xfId="49" applyFont="1" applyFill="1" applyBorder="1">
      <alignment/>
      <protection/>
    </xf>
    <xf numFmtId="14" fontId="0" fillId="0" borderId="10" xfId="49" applyNumberFormat="1" applyBorder="1">
      <alignment/>
      <protection/>
    </xf>
    <xf numFmtId="20" fontId="0" fillId="0" borderId="10" xfId="49" applyNumberFormat="1" applyBorder="1">
      <alignment/>
      <protection/>
    </xf>
    <xf numFmtId="0" fontId="0" fillId="0" borderId="10" xfId="49" applyNumberFormat="1" applyBorder="1">
      <alignment/>
      <protection/>
    </xf>
    <xf numFmtId="208" fontId="0" fillId="0" borderId="10" xfId="49" applyNumberFormat="1" applyBorder="1">
      <alignment/>
      <protection/>
    </xf>
    <xf numFmtId="191" fontId="0" fillId="0" borderId="10" xfId="49" applyNumberFormat="1" applyFill="1" applyBorder="1">
      <alignment/>
      <protection/>
    </xf>
    <xf numFmtId="209" fontId="0" fillId="0" borderId="0" xfId="49" applyNumberFormat="1">
      <alignment/>
      <protection/>
    </xf>
    <xf numFmtId="210" fontId="0" fillId="0" borderId="0" xfId="49" applyNumberFormat="1">
      <alignment/>
      <protection/>
    </xf>
    <xf numFmtId="0" fontId="6" fillId="41" borderId="38" xfId="49" applyFont="1" applyFill="1" applyBorder="1" applyAlignment="1">
      <alignment horizontal="center"/>
      <protection/>
    </xf>
    <xf numFmtId="0" fontId="6" fillId="41" borderId="44" xfId="49" applyFont="1" applyFill="1" applyBorder="1" applyAlignment="1">
      <alignment horizontal="center"/>
      <protection/>
    </xf>
    <xf numFmtId="0" fontId="6" fillId="41" borderId="20" xfId="49" applyFont="1" applyFill="1" applyBorder="1" applyAlignment="1">
      <alignment horizontal="center"/>
      <protection/>
    </xf>
    <xf numFmtId="0" fontId="0" fillId="36" borderId="10" xfId="49" applyFill="1" applyBorder="1" applyAlignment="1">
      <alignment horizontal="left"/>
      <protection/>
    </xf>
    <xf numFmtId="14" fontId="0" fillId="41" borderId="10" xfId="49" applyNumberFormat="1" applyFill="1" applyBorder="1">
      <alignment/>
      <protection/>
    </xf>
    <xf numFmtId="14" fontId="0" fillId="0" borderId="0" xfId="49" applyNumberFormat="1">
      <alignment/>
      <protection/>
    </xf>
    <xf numFmtId="22" fontId="0" fillId="41" borderId="10" xfId="49" applyNumberFormat="1" applyFill="1" applyBorder="1">
      <alignment/>
      <protection/>
    </xf>
    <xf numFmtId="0" fontId="0" fillId="41" borderId="10" xfId="49" applyFill="1" applyBorder="1">
      <alignment/>
      <protection/>
    </xf>
    <xf numFmtId="0" fontId="0" fillId="41" borderId="10" xfId="49" applyNumberFormat="1" applyFill="1" applyBorder="1">
      <alignment/>
      <protection/>
    </xf>
    <xf numFmtId="211" fontId="0" fillId="41" borderId="10" xfId="49" applyNumberFormat="1" applyFill="1" applyBorder="1">
      <alignment/>
      <protection/>
    </xf>
    <xf numFmtId="212" fontId="0" fillId="41" borderId="10" xfId="49" applyNumberFormat="1" applyFill="1" applyBorder="1">
      <alignment/>
      <protection/>
    </xf>
    <xf numFmtId="213" fontId="0" fillId="0" borderId="0" xfId="49" applyNumberFormat="1">
      <alignment/>
      <protection/>
    </xf>
    <xf numFmtId="18" fontId="0" fillId="0" borderId="0" xfId="49" applyNumberFormat="1">
      <alignment/>
      <protection/>
    </xf>
    <xf numFmtId="20" fontId="0" fillId="40" borderId="10" xfId="49" applyNumberFormat="1" applyFill="1" applyBorder="1">
      <alignment/>
      <protection/>
    </xf>
    <xf numFmtId="0" fontId="0" fillId="40" borderId="10" xfId="49" applyNumberFormat="1" applyFill="1" applyBorder="1">
      <alignment/>
      <protection/>
    </xf>
    <xf numFmtId="208" fontId="0" fillId="40" borderId="10" xfId="49" applyNumberFormat="1" applyFill="1" applyBorder="1">
      <alignment/>
      <protection/>
    </xf>
    <xf numFmtId="191" fontId="0" fillId="40" borderId="10" xfId="49" applyNumberFormat="1" applyFill="1" applyBorder="1">
      <alignment/>
      <protection/>
    </xf>
    <xf numFmtId="0" fontId="0" fillId="0" borderId="0" xfId="49" applyNumberFormat="1">
      <alignment/>
      <protection/>
    </xf>
    <xf numFmtId="14" fontId="0" fillId="40" borderId="10" xfId="49" applyNumberFormat="1" applyFill="1" applyBorder="1">
      <alignment/>
      <protection/>
    </xf>
    <xf numFmtId="22" fontId="0" fillId="40" borderId="10" xfId="49" applyNumberFormat="1" applyFill="1" applyBorder="1">
      <alignment/>
      <protection/>
    </xf>
    <xf numFmtId="0" fontId="0" fillId="40" borderId="10" xfId="49" applyFill="1" applyBorder="1">
      <alignment/>
      <protection/>
    </xf>
    <xf numFmtId="211" fontId="0" fillId="40" borderId="10" xfId="49" applyNumberFormat="1" applyFill="1" applyBorder="1">
      <alignment/>
      <protection/>
    </xf>
    <xf numFmtId="212" fontId="0" fillId="40" borderId="10" xfId="49" applyNumberFormat="1" applyFill="1" applyBorder="1">
      <alignment/>
      <protection/>
    </xf>
    <xf numFmtId="0" fontId="12" fillId="0" borderId="0" xfId="49" applyFont="1">
      <alignment/>
      <protection/>
    </xf>
    <xf numFmtId="20" fontId="0" fillId="0" borderId="10" xfId="49" applyNumberFormat="1" applyFill="1" applyBorder="1">
      <alignment/>
      <protection/>
    </xf>
    <xf numFmtId="0" fontId="0" fillId="0" borderId="10" xfId="49" applyNumberFormat="1" applyFill="1" applyBorder="1">
      <alignment/>
      <protection/>
    </xf>
    <xf numFmtId="209" fontId="0" fillId="0" borderId="10" xfId="49" applyNumberFormat="1" applyFill="1" applyBorder="1">
      <alignment/>
      <protection/>
    </xf>
    <xf numFmtId="0" fontId="6" fillId="0" borderId="0" xfId="49" applyFont="1">
      <alignment/>
      <protection/>
    </xf>
    <xf numFmtId="209" fontId="0" fillId="40" borderId="10" xfId="49" applyNumberFormat="1" applyFill="1" applyBorder="1">
      <alignment/>
      <protection/>
    </xf>
  </cellXfs>
  <cellStyles count="64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_x0001_" xfId="27"/>
    <cellStyle name="60% - הדגשה1" xfId="28"/>
    <cellStyle name="60% - הדגשה2" xfId="29"/>
    <cellStyle name="60% - הדגשה3" xfId="30"/>
    <cellStyle name="60% - הדגשה4" xfId="31"/>
    <cellStyle name="60% - הדגשה5" xfId="32"/>
    <cellStyle name="60% - הדגשה6" xfId="33"/>
    <cellStyle name="6A" xfId="34"/>
    <cellStyle name="al (2)" xfId="35"/>
    <cellStyle name="B" xfId="36"/>
    <cellStyle name="Comma" xfId="37"/>
    <cellStyle name="Comma [0]" xfId="38"/>
    <cellStyle name="Currency" xfId="39"/>
    <cellStyle name="Currency [0]" xfId="40"/>
    <cellStyle name="Currency [0] _FCG032A" xfId="41"/>
    <cellStyle name="Currency [0] 4_x0007_CG306D" xfId="42"/>
    <cellStyle name="Currency 2" xfId="43"/>
    <cellStyle name="Followed Hyperlink" xfId="44"/>
    <cellStyle name="H1 (2)_FCG046A" xfId="45"/>
    <cellStyle name="Hyperlink" xfId="46"/>
    <cellStyle name="MS_English" xfId="47"/>
    <cellStyle name="nal (2)_RF (2)" xfId="48"/>
    <cellStyle name="Normal 2" xfId="49"/>
    <cellStyle name="Percent" xfId="50"/>
    <cellStyle name="Percent 2" xfId="51"/>
    <cellStyle name="RF (2)" xfId="52"/>
    <cellStyle name="sh_FCG320B" xfId="53"/>
    <cellStyle name="Spelling 1033,0" xfId="54"/>
    <cellStyle name="הדגשה1" xfId="55"/>
    <cellStyle name="הדגשה2" xfId="56"/>
    <cellStyle name="הדגשה3" xfId="57"/>
    <cellStyle name="הדגשה4" xfId="58"/>
    <cellStyle name="הדגשה5" xfId="59"/>
    <cellStyle name="הדגשה6" xfId="60"/>
    <cellStyle name="הערה" xfId="61"/>
    <cellStyle name="חישוב" xfId="62"/>
    <cellStyle name="טוב" xfId="63"/>
    <cellStyle name="טקסט אזהרה" xfId="64"/>
    <cellStyle name="טקסט הסברי" xfId="65"/>
    <cellStyle name="כותרת" xfId="66"/>
    <cellStyle name="כותרת 1" xfId="67"/>
    <cellStyle name="כותרת 2" xfId="68"/>
    <cellStyle name="כותרת 3" xfId="69"/>
    <cellStyle name="כותרת 4" xfId="70"/>
    <cellStyle name="ניטראלי" xfId="71"/>
    <cellStyle name="סה&quot;כ" xfId="72"/>
    <cellStyle name="פלט" xfId="73"/>
    <cellStyle name="קלט" xfId="74"/>
    <cellStyle name="רע" xfId="75"/>
    <cellStyle name="תא מסומן" xfId="76"/>
    <cellStyle name="תא מקושר" xfId="77"/>
  </cellStyles>
  <dxfs count="11">
    <dxf>
      <font>
        <b/>
        <i val="0"/>
        <color rgb="FF0000FF"/>
      </font>
    </dxf>
    <dxf>
      <font>
        <b/>
        <i val="0"/>
        <color rgb="FF0000FF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27</xdr:row>
      <xdr:rowOff>76200</xdr:rowOff>
    </xdr:from>
    <xdr:to>
      <xdr:col>13</xdr:col>
      <xdr:colOff>0</xdr:colOff>
      <xdr:row>33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191000" y="5105400"/>
          <a:ext cx="263842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הוספת תיבת טקסט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27</xdr:row>
      <xdr:rowOff>76200</xdr:rowOff>
    </xdr:from>
    <xdr:to>
      <xdr:col>13</xdr:col>
      <xdr:colOff>0</xdr:colOff>
      <xdr:row>33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191000" y="5105400"/>
          <a:ext cx="263842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הוספת תיבת טקסט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590550</xdr:colOff>
      <xdr:row>2</xdr:row>
      <xdr:rowOff>152400</xdr:rowOff>
    </xdr:from>
    <xdr:to>
      <xdr:col>13</xdr:col>
      <xdr:colOff>9525</xdr:colOff>
      <xdr:row>9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4981575" y="952500"/>
          <a:ext cx="5686425" cy="1028700"/>
        </a:xfrm>
        <a:prstGeom prst="wedgeRectCallout">
          <a:avLst>
            <a:gd name="adj1" fmla="val 1106"/>
            <a:gd name="adj2" fmla="val 154629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פתרונות חישובים לתיקי חסכונות בחברת "עתידות"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590550</xdr:colOff>
      <xdr:row>2</xdr:row>
      <xdr:rowOff>152400</xdr:rowOff>
    </xdr:from>
    <xdr:to>
      <xdr:col>13</xdr:col>
      <xdr:colOff>9525</xdr:colOff>
      <xdr:row>9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4981575" y="952500"/>
          <a:ext cx="5686425" cy="1028700"/>
        </a:xfrm>
        <a:prstGeom prst="wedgeRectCallout">
          <a:avLst>
            <a:gd name="adj1" fmla="val 1106"/>
            <a:gd name="adj2" fmla="val 154629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פתרונות חישובים לתיקי חסכונות בחברת "עתידות"</a:t>
          </a:r>
        </a:p>
      </xdr:txBody>
    </xdr:sp>
    <xdr:clientData/>
  </xdr:twoCellAnchor>
  <xdr:twoCellAnchor>
    <xdr:from>
      <xdr:col>5</xdr:col>
      <xdr:colOff>276225</xdr:colOff>
      <xdr:row>48</xdr:row>
      <xdr:rowOff>19050</xdr:rowOff>
    </xdr:from>
    <xdr:to>
      <xdr:col>7</xdr:col>
      <xdr:colOff>428625</xdr:colOff>
      <xdr:row>51</xdr:row>
      <xdr:rowOff>152400</xdr:rowOff>
    </xdr:to>
    <xdr:sp>
      <xdr:nvSpPr>
        <xdr:cNvPr id="2" name="AutoShape 3"/>
        <xdr:cNvSpPr>
          <a:spLocks/>
        </xdr:cNvSpPr>
      </xdr:nvSpPr>
      <xdr:spPr>
        <a:xfrm>
          <a:off x="3448050" y="10772775"/>
          <a:ext cx="1371600" cy="647700"/>
        </a:xfrm>
        <a:prstGeom prst="wedgeRoundRectCallout">
          <a:avLst>
            <a:gd name="adj1" fmla="val -129166"/>
            <a:gd name="adj2" fmla="val -36763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אם ימצא יותר מערך אחד, הפונק' תחזיר הודעת שגיאה #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NUM!, </a:t>
          </a:r>
        </a:p>
      </xdr:txBody>
    </xdr:sp>
    <xdr:clientData/>
  </xdr:twoCellAnchor>
  <xdr:twoCellAnchor>
    <xdr:from>
      <xdr:col>5</xdr:col>
      <xdr:colOff>123825</xdr:colOff>
      <xdr:row>18</xdr:row>
      <xdr:rowOff>0</xdr:rowOff>
    </xdr:from>
    <xdr:to>
      <xdr:col>7</xdr:col>
      <xdr:colOff>457200</xdr:colOff>
      <xdr:row>18</xdr:row>
      <xdr:rowOff>0</xdr:rowOff>
    </xdr:to>
    <xdr:sp>
      <xdr:nvSpPr>
        <xdr:cNvPr id="3" name="Line 5"/>
        <xdr:cNvSpPr>
          <a:spLocks/>
        </xdr:cNvSpPr>
      </xdr:nvSpPr>
      <xdr:spPr>
        <a:xfrm flipH="1">
          <a:off x="3295650" y="3724275"/>
          <a:ext cx="1552575" cy="0"/>
        </a:xfrm>
        <a:prstGeom prst="line">
          <a:avLst/>
        </a:prstGeom>
        <a:noFill/>
        <a:ln w="381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22</xdr:row>
      <xdr:rowOff>9525</xdr:rowOff>
    </xdr:from>
    <xdr:to>
      <xdr:col>7</xdr:col>
      <xdr:colOff>495300</xdr:colOff>
      <xdr:row>22</xdr:row>
      <xdr:rowOff>9525</xdr:rowOff>
    </xdr:to>
    <xdr:sp>
      <xdr:nvSpPr>
        <xdr:cNvPr id="4" name="Line 6"/>
        <xdr:cNvSpPr>
          <a:spLocks/>
        </xdr:cNvSpPr>
      </xdr:nvSpPr>
      <xdr:spPr>
        <a:xfrm flipH="1">
          <a:off x="3333750" y="4743450"/>
          <a:ext cx="1552575" cy="0"/>
        </a:xfrm>
        <a:prstGeom prst="line">
          <a:avLst/>
        </a:prstGeom>
        <a:noFill/>
        <a:ln w="381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27</xdr:row>
      <xdr:rowOff>0</xdr:rowOff>
    </xdr:from>
    <xdr:to>
      <xdr:col>7</xdr:col>
      <xdr:colOff>495300</xdr:colOff>
      <xdr:row>27</xdr:row>
      <xdr:rowOff>0</xdr:rowOff>
    </xdr:to>
    <xdr:sp>
      <xdr:nvSpPr>
        <xdr:cNvPr id="5" name="Line 7"/>
        <xdr:cNvSpPr>
          <a:spLocks/>
        </xdr:cNvSpPr>
      </xdr:nvSpPr>
      <xdr:spPr>
        <a:xfrm flipH="1">
          <a:off x="3333750" y="5905500"/>
          <a:ext cx="1552575" cy="0"/>
        </a:xfrm>
        <a:prstGeom prst="line">
          <a:avLst/>
        </a:prstGeom>
        <a:noFill/>
        <a:ln w="381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31</xdr:row>
      <xdr:rowOff>152400</xdr:rowOff>
    </xdr:from>
    <xdr:to>
      <xdr:col>7</xdr:col>
      <xdr:colOff>514350</xdr:colOff>
      <xdr:row>31</xdr:row>
      <xdr:rowOff>152400</xdr:rowOff>
    </xdr:to>
    <xdr:sp>
      <xdr:nvSpPr>
        <xdr:cNvPr id="6" name="Line 8"/>
        <xdr:cNvSpPr>
          <a:spLocks/>
        </xdr:cNvSpPr>
      </xdr:nvSpPr>
      <xdr:spPr>
        <a:xfrm flipH="1">
          <a:off x="3352800" y="7067550"/>
          <a:ext cx="1552575" cy="0"/>
        </a:xfrm>
        <a:prstGeom prst="line">
          <a:avLst/>
        </a:prstGeom>
        <a:noFill/>
        <a:ln w="381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36</xdr:row>
      <xdr:rowOff>9525</xdr:rowOff>
    </xdr:from>
    <xdr:to>
      <xdr:col>7</xdr:col>
      <xdr:colOff>504825</xdr:colOff>
      <xdr:row>36</xdr:row>
      <xdr:rowOff>9525</xdr:rowOff>
    </xdr:to>
    <xdr:sp>
      <xdr:nvSpPr>
        <xdr:cNvPr id="7" name="Line 9"/>
        <xdr:cNvSpPr>
          <a:spLocks/>
        </xdr:cNvSpPr>
      </xdr:nvSpPr>
      <xdr:spPr>
        <a:xfrm flipH="1">
          <a:off x="3343275" y="8096250"/>
          <a:ext cx="1552575" cy="0"/>
        </a:xfrm>
        <a:prstGeom prst="line">
          <a:avLst/>
        </a:prstGeom>
        <a:noFill/>
        <a:ln w="381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41</xdr:row>
      <xdr:rowOff>152400</xdr:rowOff>
    </xdr:from>
    <xdr:to>
      <xdr:col>7</xdr:col>
      <xdr:colOff>523875</xdr:colOff>
      <xdr:row>41</xdr:row>
      <xdr:rowOff>152400</xdr:rowOff>
    </xdr:to>
    <xdr:sp>
      <xdr:nvSpPr>
        <xdr:cNvPr id="8" name="Line 10"/>
        <xdr:cNvSpPr>
          <a:spLocks/>
        </xdr:cNvSpPr>
      </xdr:nvSpPr>
      <xdr:spPr>
        <a:xfrm flipH="1">
          <a:off x="3362325" y="9410700"/>
          <a:ext cx="1552575" cy="0"/>
        </a:xfrm>
        <a:prstGeom prst="line">
          <a:avLst/>
        </a:prstGeom>
        <a:noFill/>
        <a:ln w="381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54</xdr:row>
      <xdr:rowOff>0</xdr:rowOff>
    </xdr:from>
    <xdr:to>
      <xdr:col>7</xdr:col>
      <xdr:colOff>533400</xdr:colOff>
      <xdr:row>54</xdr:row>
      <xdr:rowOff>0</xdr:rowOff>
    </xdr:to>
    <xdr:sp>
      <xdr:nvSpPr>
        <xdr:cNvPr id="9" name="Line 12"/>
        <xdr:cNvSpPr>
          <a:spLocks/>
        </xdr:cNvSpPr>
      </xdr:nvSpPr>
      <xdr:spPr>
        <a:xfrm flipH="1">
          <a:off x="3371850" y="12087225"/>
          <a:ext cx="1552575" cy="0"/>
        </a:xfrm>
        <a:prstGeom prst="line">
          <a:avLst/>
        </a:prstGeom>
        <a:noFill/>
        <a:ln w="381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59</xdr:row>
      <xdr:rowOff>152400</xdr:rowOff>
    </xdr:from>
    <xdr:to>
      <xdr:col>7</xdr:col>
      <xdr:colOff>533400</xdr:colOff>
      <xdr:row>59</xdr:row>
      <xdr:rowOff>152400</xdr:rowOff>
    </xdr:to>
    <xdr:sp>
      <xdr:nvSpPr>
        <xdr:cNvPr id="10" name="Line 13"/>
        <xdr:cNvSpPr>
          <a:spLocks/>
        </xdr:cNvSpPr>
      </xdr:nvSpPr>
      <xdr:spPr>
        <a:xfrm flipH="1">
          <a:off x="3371850" y="13411200"/>
          <a:ext cx="1552575" cy="0"/>
        </a:xfrm>
        <a:prstGeom prst="line">
          <a:avLst/>
        </a:prstGeom>
        <a:noFill/>
        <a:ln w="381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48</xdr:row>
      <xdr:rowOff>28575</xdr:rowOff>
    </xdr:from>
    <xdr:to>
      <xdr:col>7</xdr:col>
      <xdr:colOff>438150</xdr:colOff>
      <xdr:row>51</xdr:row>
      <xdr:rowOff>161925</xdr:rowOff>
    </xdr:to>
    <xdr:sp>
      <xdr:nvSpPr>
        <xdr:cNvPr id="11" name="AutoShape 14"/>
        <xdr:cNvSpPr>
          <a:spLocks/>
        </xdr:cNvSpPr>
      </xdr:nvSpPr>
      <xdr:spPr>
        <a:xfrm>
          <a:off x="3457575" y="10782300"/>
          <a:ext cx="1371600" cy="647700"/>
        </a:xfrm>
        <a:prstGeom prst="wedgeRoundRectCallout">
          <a:avLst>
            <a:gd name="adj1" fmla="val -129166"/>
            <a:gd name="adj2" fmla="val -36763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אם ימצא יותר מערך אחד, הפונק' תחזיר הודעת שגיאה #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NUM!, </a:t>
          </a:r>
        </a:p>
      </xdr:txBody>
    </xdr:sp>
    <xdr:clientData/>
  </xdr:twoCellAnchor>
  <xdr:twoCellAnchor>
    <xdr:from>
      <xdr:col>5</xdr:col>
      <xdr:colOff>152400</xdr:colOff>
      <xdr:row>47</xdr:row>
      <xdr:rowOff>0</xdr:rowOff>
    </xdr:from>
    <xdr:to>
      <xdr:col>7</xdr:col>
      <xdr:colOff>485775</xdr:colOff>
      <xdr:row>47</xdr:row>
      <xdr:rowOff>0</xdr:rowOff>
    </xdr:to>
    <xdr:sp>
      <xdr:nvSpPr>
        <xdr:cNvPr id="12" name="Line 16"/>
        <xdr:cNvSpPr>
          <a:spLocks/>
        </xdr:cNvSpPr>
      </xdr:nvSpPr>
      <xdr:spPr>
        <a:xfrm flipH="1">
          <a:off x="3324225" y="10591800"/>
          <a:ext cx="1552575" cy="0"/>
        </a:xfrm>
        <a:prstGeom prst="line">
          <a:avLst/>
        </a:prstGeom>
        <a:noFill/>
        <a:ln w="381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571500</xdr:colOff>
      <xdr:row>23</xdr:row>
      <xdr:rowOff>85725</xdr:rowOff>
    </xdr:from>
    <xdr:to>
      <xdr:col>11</xdr:col>
      <xdr:colOff>809625</xdr:colOff>
      <xdr:row>26</xdr:row>
      <xdr:rowOff>9525</xdr:rowOff>
    </xdr:to>
    <xdr:sp>
      <xdr:nvSpPr>
        <xdr:cNvPr id="1" name="AutoShape 6"/>
        <xdr:cNvSpPr>
          <a:spLocks/>
        </xdr:cNvSpPr>
      </xdr:nvSpPr>
      <xdr:spPr>
        <a:xfrm>
          <a:off x="6267450" y="4391025"/>
          <a:ext cx="1495425" cy="409575"/>
        </a:xfrm>
        <a:prstGeom prst="wedgeRoundRectCallout">
          <a:avLst>
            <a:gd name="adj1" fmla="val 90685"/>
            <a:gd name="adj2" fmla="val -135453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ראו בעיצוב תאים - כיצד יש להציג את היום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304800</xdr:colOff>
      <xdr:row>18</xdr:row>
      <xdr:rowOff>9525</xdr:rowOff>
    </xdr:from>
    <xdr:to>
      <xdr:col>12</xdr:col>
      <xdr:colOff>666750</xdr:colOff>
      <xdr:row>22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6610350" y="3505200"/>
          <a:ext cx="1828800" cy="685800"/>
        </a:xfrm>
        <a:prstGeom prst="wedgeRoundRectCallout">
          <a:avLst>
            <a:gd name="adj1" fmla="val 44555"/>
            <a:gd name="adj2" fmla="val -172222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חישוב בשתי דרכים שונות, דרך ב פשוטה יותר ומשתמשת בהשוואת מספר השבוע בשנה הנוכחית</a:t>
          </a:r>
        </a:p>
      </xdr:txBody>
    </xdr:sp>
    <xdr:clientData/>
  </xdr:twoCellAnchor>
  <xdr:twoCellAnchor>
    <xdr:from>
      <xdr:col>10</xdr:col>
      <xdr:colOff>314325</xdr:colOff>
      <xdr:row>18</xdr:row>
      <xdr:rowOff>0</xdr:rowOff>
    </xdr:from>
    <xdr:to>
      <xdr:col>12</xdr:col>
      <xdr:colOff>666750</xdr:colOff>
      <xdr:row>22</xdr:row>
      <xdr:rowOff>38100</xdr:rowOff>
    </xdr:to>
    <xdr:sp>
      <xdr:nvSpPr>
        <xdr:cNvPr id="2" name="AutoShape 2"/>
        <xdr:cNvSpPr>
          <a:spLocks/>
        </xdr:cNvSpPr>
      </xdr:nvSpPr>
      <xdr:spPr>
        <a:xfrm>
          <a:off x="6619875" y="3495675"/>
          <a:ext cx="1819275" cy="685800"/>
        </a:xfrm>
        <a:prstGeom prst="wedgeRoundRectCallout">
          <a:avLst>
            <a:gd name="adj1" fmla="val -30597"/>
            <a:gd name="adj2" fmla="val -168055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חישוב בשתי דרכים שונות, דרך ב פשוטה יותר ומשתמשת בהשוואת מספר השבוע בשנה הנוכחית</a:t>
          </a:r>
        </a:p>
      </xdr:txBody>
    </xdr:sp>
    <xdr:clientData/>
  </xdr:twoCellAnchor>
  <xdr:twoCellAnchor>
    <xdr:from>
      <xdr:col>9</xdr:col>
      <xdr:colOff>571500</xdr:colOff>
      <xdr:row>23</xdr:row>
      <xdr:rowOff>85725</xdr:rowOff>
    </xdr:from>
    <xdr:to>
      <xdr:col>11</xdr:col>
      <xdr:colOff>809625</xdr:colOff>
      <xdr:row>26</xdr:row>
      <xdr:rowOff>9525</xdr:rowOff>
    </xdr:to>
    <xdr:sp>
      <xdr:nvSpPr>
        <xdr:cNvPr id="3" name="AutoShape 3"/>
        <xdr:cNvSpPr>
          <a:spLocks/>
        </xdr:cNvSpPr>
      </xdr:nvSpPr>
      <xdr:spPr>
        <a:xfrm>
          <a:off x="6267450" y="4391025"/>
          <a:ext cx="1495425" cy="409575"/>
        </a:xfrm>
        <a:prstGeom prst="wedgeRoundRectCallout">
          <a:avLst>
            <a:gd name="adj1" fmla="val 90685"/>
            <a:gd name="adj2" fmla="val -135453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ראו בעיצוב תאים - כיצד יש להציג את היום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telem.openu.ac.il/courses/2009a/c10159" TargetMode="External" /><Relationship Id="rId2" Type="http://schemas.openxmlformats.org/officeDocument/2006/relationships/oleObject" Target="../embeddings/oleObject_2_0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rightToLeft="1" tabSelected="1" zoomScalePageLayoutView="0" workbookViewId="0" topLeftCell="A1">
      <selection activeCell="A1" sqref="A1:P1"/>
    </sheetView>
  </sheetViews>
  <sheetFormatPr defaultColWidth="9.140625" defaultRowHeight="12.75"/>
  <cols>
    <col min="1" max="1" width="4.7109375" style="0" customWidth="1"/>
    <col min="2" max="2" width="13.28125" style="0" customWidth="1"/>
    <col min="3" max="3" width="8.8515625" style="0" bestFit="1" customWidth="1"/>
    <col min="4" max="5" width="7.140625" style="0" customWidth="1"/>
    <col min="6" max="6" width="9.421875" style="0" bestFit="1" customWidth="1"/>
    <col min="7" max="9" width="6.00390625" style="0" customWidth="1"/>
    <col min="11" max="11" width="8.28125" style="3" customWidth="1"/>
    <col min="12" max="12" width="7.28125" style="3" customWidth="1"/>
  </cols>
  <sheetData>
    <row r="1" spans="1:16" ht="30.75">
      <c r="A1" s="107" t="s">
        <v>42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ht="13.5" thickBot="1"/>
    <row r="3" spans="1:16" s="6" customFormat="1" ht="43.5" customHeight="1" thickBot="1" thickTop="1">
      <c r="A3" s="108" t="s">
        <v>43</v>
      </c>
      <c r="B3" s="12" t="s">
        <v>41</v>
      </c>
      <c r="C3" s="13" t="s">
        <v>0</v>
      </c>
      <c r="D3" s="13" t="s">
        <v>8</v>
      </c>
      <c r="E3" s="13" t="s">
        <v>47</v>
      </c>
      <c r="F3" s="13" t="s">
        <v>48</v>
      </c>
      <c r="G3" s="13" t="s">
        <v>9</v>
      </c>
      <c r="H3" s="13" t="s">
        <v>10</v>
      </c>
      <c r="I3" s="13" t="s">
        <v>11</v>
      </c>
      <c r="J3" s="13" t="s">
        <v>12</v>
      </c>
      <c r="K3" s="13" t="s">
        <v>13</v>
      </c>
      <c r="L3" s="13" t="s">
        <v>14</v>
      </c>
      <c r="M3" s="13" t="s">
        <v>15</v>
      </c>
      <c r="N3" s="13" t="s">
        <v>16</v>
      </c>
      <c r="O3" s="13" t="s">
        <v>39</v>
      </c>
      <c r="P3" s="14" t="s">
        <v>40</v>
      </c>
    </row>
    <row r="4" spans="1:16" ht="13.5" thickTop="1">
      <c r="A4" s="109"/>
      <c r="B4" s="18">
        <v>12345678</v>
      </c>
      <c r="C4" s="10" t="s">
        <v>1</v>
      </c>
      <c r="D4" s="10" t="s">
        <v>17</v>
      </c>
      <c r="E4" s="21">
        <v>123</v>
      </c>
      <c r="F4" s="26">
        <v>9877665</v>
      </c>
      <c r="G4" s="10">
        <v>89</v>
      </c>
      <c r="H4" s="10">
        <v>86</v>
      </c>
      <c r="I4" s="10">
        <v>99</v>
      </c>
      <c r="J4" s="27">
        <f aca="true" t="shared" si="0" ref="J4:J13">AVERAGE(G4:I4)</f>
        <v>91.33333333333333</v>
      </c>
      <c r="K4" s="10">
        <v>99</v>
      </c>
      <c r="L4" s="10">
        <v>80</v>
      </c>
      <c r="M4" s="30">
        <f aca="true" t="shared" si="1" ref="M4:M13">ROUND(G4*$C$27+H4*$C$28+I4*$C$29+K4*$C$30+L4*$C$31,0)</f>
        <v>89</v>
      </c>
      <c r="N4" s="10" t="str">
        <f aca="true" t="shared" si="2" ref="N4:N13">IF(M4&lt;$D$35,$B$35,IF(M4&lt;$D$36,$B$36,$B$37))</f>
        <v>מצטיין</v>
      </c>
      <c r="O4" s="10">
        <f aca="true" t="shared" si="3" ref="O4:O13">IF(AND(D4="נ",N4=$B$37),"מלגה","")</f>
      </c>
      <c r="P4" s="11" t="str">
        <f aca="true" t="shared" si="4" ref="P4:P13">IF(OR(D4="נ",N4=$B$37),"מלגה","")</f>
        <v>מלגה</v>
      </c>
    </row>
    <row r="5" spans="1:16" ht="12.75">
      <c r="A5" s="109"/>
      <c r="B5" s="19">
        <v>193878400</v>
      </c>
      <c r="C5" s="1" t="s">
        <v>2</v>
      </c>
      <c r="D5" s="1" t="s">
        <v>18</v>
      </c>
      <c r="E5" s="22">
        <v>70000</v>
      </c>
      <c r="F5" s="24">
        <v>9876544</v>
      </c>
      <c r="G5" s="1">
        <v>81</v>
      </c>
      <c r="H5" s="1">
        <v>80</v>
      </c>
      <c r="I5" s="1">
        <v>82</v>
      </c>
      <c r="J5" s="17">
        <f t="shared" si="0"/>
        <v>81</v>
      </c>
      <c r="K5" s="1">
        <v>81</v>
      </c>
      <c r="L5" s="1">
        <v>81</v>
      </c>
      <c r="M5" s="31">
        <f t="shared" si="1"/>
        <v>81</v>
      </c>
      <c r="N5" s="1" t="str">
        <f t="shared" si="2"/>
        <v>עובר</v>
      </c>
      <c r="O5" s="1">
        <f t="shared" si="3"/>
      </c>
      <c r="P5" s="7" t="str">
        <f t="shared" si="4"/>
        <v>מלגה</v>
      </c>
    </row>
    <row r="6" spans="1:16" ht="12.75">
      <c r="A6" s="109"/>
      <c r="B6" s="19">
        <v>244576280</v>
      </c>
      <c r="C6" s="1" t="s">
        <v>19</v>
      </c>
      <c r="D6" s="1" t="s">
        <v>17</v>
      </c>
      <c r="E6" s="22">
        <v>55326</v>
      </c>
      <c r="F6" s="24">
        <v>2118758</v>
      </c>
      <c r="G6" s="1">
        <v>94</v>
      </c>
      <c r="H6" s="1">
        <v>100</v>
      </c>
      <c r="I6" s="1">
        <v>93</v>
      </c>
      <c r="J6" s="17">
        <f t="shared" si="0"/>
        <v>95.66666666666667</v>
      </c>
      <c r="K6" s="1">
        <v>95</v>
      </c>
      <c r="L6" s="1">
        <v>100</v>
      </c>
      <c r="M6" s="31">
        <f t="shared" si="1"/>
        <v>97</v>
      </c>
      <c r="N6" s="1" t="str">
        <f t="shared" si="2"/>
        <v>מצטיין</v>
      </c>
      <c r="O6" s="1">
        <f t="shared" si="3"/>
      </c>
      <c r="P6" s="7" t="str">
        <f t="shared" si="4"/>
        <v>מלגה</v>
      </c>
    </row>
    <row r="7" spans="1:16" ht="12.75">
      <c r="A7" s="109"/>
      <c r="B7" s="19">
        <v>298754355</v>
      </c>
      <c r="C7" s="1" t="s">
        <v>6</v>
      </c>
      <c r="D7" s="1" t="s">
        <v>17</v>
      </c>
      <c r="E7" s="22">
        <v>56324</v>
      </c>
      <c r="F7" s="24">
        <v>3527439</v>
      </c>
      <c r="G7" s="1">
        <v>88</v>
      </c>
      <c r="H7" s="1">
        <v>90</v>
      </c>
      <c r="I7" s="1">
        <v>74</v>
      </c>
      <c r="J7" s="17">
        <f t="shared" si="0"/>
        <v>84</v>
      </c>
      <c r="K7" s="1">
        <v>55</v>
      </c>
      <c r="L7" s="1">
        <v>45</v>
      </c>
      <c r="M7" s="31">
        <f t="shared" si="1"/>
        <v>60</v>
      </c>
      <c r="N7" s="1" t="str">
        <f t="shared" si="2"/>
        <v>עובר</v>
      </c>
      <c r="O7" s="1">
        <f t="shared" si="3"/>
      </c>
      <c r="P7" s="7">
        <f t="shared" si="4"/>
      </c>
    </row>
    <row r="8" spans="1:16" ht="12.75">
      <c r="A8" s="109"/>
      <c r="B8" s="19">
        <v>388923057</v>
      </c>
      <c r="C8" s="1" t="s">
        <v>4</v>
      </c>
      <c r="D8" s="1" t="s">
        <v>18</v>
      </c>
      <c r="E8" s="22">
        <v>86534</v>
      </c>
      <c r="F8" s="24">
        <v>7563094</v>
      </c>
      <c r="G8" s="1">
        <v>60</v>
      </c>
      <c r="H8" s="1">
        <v>100</v>
      </c>
      <c r="I8" s="1">
        <v>80</v>
      </c>
      <c r="J8" s="17">
        <f t="shared" si="0"/>
        <v>80</v>
      </c>
      <c r="K8" s="1">
        <v>40</v>
      </c>
      <c r="L8" s="1">
        <v>61</v>
      </c>
      <c r="M8" s="31">
        <f t="shared" si="1"/>
        <v>60</v>
      </c>
      <c r="N8" s="1" t="str">
        <f t="shared" si="2"/>
        <v>עובר</v>
      </c>
      <c r="O8" s="1">
        <f t="shared" si="3"/>
      </c>
      <c r="P8" s="7" t="str">
        <f t="shared" si="4"/>
        <v>מלגה</v>
      </c>
    </row>
    <row r="9" spans="1:16" ht="12.75">
      <c r="A9" s="109"/>
      <c r="B9" s="19">
        <v>658370843</v>
      </c>
      <c r="C9" s="1" t="s">
        <v>3</v>
      </c>
      <c r="D9" s="1" t="s">
        <v>18</v>
      </c>
      <c r="E9" s="22">
        <v>83934</v>
      </c>
      <c r="F9" s="24">
        <v>8763456</v>
      </c>
      <c r="G9" s="1">
        <v>67</v>
      </c>
      <c r="H9" s="1">
        <v>99</v>
      </c>
      <c r="I9" s="1">
        <v>69</v>
      </c>
      <c r="J9" s="17">
        <f t="shared" si="0"/>
        <v>78.33333333333333</v>
      </c>
      <c r="K9" s="1">
        <v>90</v>
      </c>
      <c r="L9" s="1">
        <v>85</v>
      </c>
      <c r="M9" s="31">
        <f t="shared" si="1"/>
        <v>85</v>
      </c>
      <c r="N9" s="1" t="str">
        <f t="shared" si="2"/>
        <v>מצטיין</v>
      </c>
      <c r="O9" s="1" t="str">
        <f t="shared" si="3"/>
        <v>מלגה</v>
      </c>
      <c r="P9" s="7" t="str">
        <f t="shared" si="4"/>
        <v>מלגה</v>
      </c>
    </row>
    <row r="10" spans="1:16" ht="12.75">
      <c r="A10" s="109"/>
      <c r="B10" s="19">
        <v>830998987</v>
      </c>
      <c r="C10" s="1" t="s">
        <v>4</v>
      </c>
      <c r="D10" s="1" t="s">
        <v>18</v>
      </c>
      <c r="E10" s="22">
        <v>55235</v>
      </c>
      <c r="F10" s="24">
        <v>6347234</v>
      </c>
      <c r="G10" s="1">
        <v>80</v>
      </c>
      <c r="H10" s="1"/>
      <c r="I10" s="1">
        <v>87</v>
      </c>
      <c r="J10" s="17">
        <f t="shared" si="0"/>
        <v>83.5</v>
      </c>
      <c r="K10" s="1">
        <v>90</v>
      </c>
      <c r="L10" s="1"/>
      <c r="M10" s="31">
        <f t="shared" si="1"/>
        <v>44</v>
      </c>
      <c r="N10" s="1" t="str">
        <f t="shared" si="2"/>
        <v>נכשל</v>
      </c>
      <c r="O10" s="1">
        <f t="shared" si="3"/>
      </c>
      <c r="P10" s="7" t="str">
        <f t="shared" si="4"/>
        <v>מלגה</v>
      </c>
    </row>
    <row r="11" spans="1:16" ht="12.75">
      <c r="A11" s="109"/>
      <c r="B11" s="19">
        <v>947465892</v>
      </c>
      <c r="C11" s="1" t="s">
        <v>19</v>
      </c>
      <c r="D11" s="1" t="s">
        <v>18</v>
      </c>
      <c r="E11" s="22">
        <v>41466</v>
      </c>
      <c r="F11" s="24">
        <v>3434324</v>
      </c>
      <c r="G11" s="1"/>
      <c r="H11" s="1">
        <v>79</v>
      </c>
      <c r="I11" s="1">
        <v>99</v>
      </c>
      <c r="J11" s="17">
        <f t="shared" si="0"/>
        <v>89</v>
      </c>
      <c r="K11" s="1">
        <v>86</v>
      </c>
      <c r="L11" s="1">
        <v>65</v>
      </c>
      <c r="M11" s="31">
        <f t="shared" si="1"/>
        <v>70</v>
      </c>
      <c r="N11" s="1" t="str">
        <f t="shared" si="2"/>
        <v>עובר</v>
      </c>
      <c r="O11" s="1">
        <f t="shared" si="3"/>
      </c>
      <c r="P11" s="7" t="str">
        <f t="shared" si="4"/>
        <v>מלגה</v>
      </c>
    </row>
    <row r="12" spans="1:16" ht="12.75">
      <c r="A12" s="109"/>
      <c r="B12" s="19">
        <v>983687692</v>
      </c>
      <c r="C12" s="1" t="s">
        <v>7</v>
      </c>
      <c r="D12" s="1" t="s">
        <v>18</v>
      </c>
      <c r="E12" s="22">
        <v>44141</v>
      </c>
      <c r="F12" s="24">
        <v>8743644</v>
      </c>
      <c r="G12" s="1">
        <v>45</v>
      </c>
      <c r="H12" s="1">
        <v>60</v>
      </c>
      <c r="I12" s="1"/>
      <c r="J12" s="17">
        <f t="shared" si="0"/>
        <v>52.5</v>
      </c>
      <c r="K12" s="1">
        <v>99</v>
      </c>
      <c r="L12" s="1">
        <v>94</v>
      </c>
      <c r="M12" s="31">
        <f t="shared" si="1"/>
        <v>78</v>
      </c>
      <c r="N12" s="1" t="str">
        <f t="shared" si="2"/>
        <v>עובר</v>
      </c>
      <c r="O12" s="1">
        <f t="shared" si="3"/>
      </c>
      <c r="P12" s="7" t="str">
        <f t="shared" si="4"/>
        <v>מלגה</v>
      </c>
    </row>
    <row r="13" spans="1:16" ht="13.5" thickBot="1">
      <c r="A13" s="110"/>
      <c r="B13" s="20">
        <v>987636455</v>
      </c>
      <c r="C13" s="8" t="s">
        <v>5</v>
      </c>
      <c r="D13" s="8" t="s">
        <v>18</v>
      </c>
      <c r="E13" s="23">
        <v>44451</v>
      </c>
      <c r="F13" s="25">
        <v>3252524</v>
      </c>
      <c r="G13" s="8">
        <v>91</v>
      </c>
      <c r="H13" s="8">
        <v>79</v>
      </c>
      <c r="I13" s="8">
        <v>85</v>
      </c>
      <c r="J13" s="28">
        <f t="shared" si="0"/>
        <v>85</v>
      </c>
      <c r="K13" s="8">
        <v>100</v>
      </c>
      <c r="L13" s="8">
        <v>50</v>
      </c>
      <c r="M13" s="32">
        <f t="shared" si="1"/>
        <v>76</v>
      </c>
      <c r="N13" s="8" t="str">
        <f t="shared" si="2"/>
        <v>עובר</v>
      </c>
      <c r="O13" s="8">
        <f t="shared" si="3"/>
      </c>
      <c r="P13" s="9" t="str">
        <f t="shared" si="4"/>
        <v>מלגה</v>
      </c>
    </row>
    <row r="14" spans="11:12" ht="13.5" thickTop="1">
      <c r="K14"/>
      <c r="L14"/>
    </row>
    <row r="15" spans="1:13" ht="12.75">
      <c r="A15" s="111" t="s">
        <v>44</v>
      </c>
      <c r="B15" s="1" t="s">
        <v>20</v>
      </c>
      <c r="C15" s="1"/>
      <c r="D15" s="1"/>
      <c r="E15" s="1"/>
      <c r="F15" s="1"/>
      <c r="G15" s="17">
        <f>AVERAGE(G4:G13)</f>
        <v>77.22222222222223</v>
      </c>
      <c r="H15" s="17">
        <f aca="true" t="shared" si="5" ref="H15:M15">AVERAGE(H4:H13)</f>
        <v>85.88888888888889</v>
      </c>
      <c r="I15" s="17">
        <f t="shared" si="5"/>
        <v>85.33333333333333</v>
      </c>
      <c r="J15" s="17">
        <f t="shared" si="5"/>
        <v>82.03333333333333</v>
      </c>
      <c r="K15" s="17">
        <f t="shared" si="5"/>
        <v>83.5</v>
      </c>
      <c r="L15" s="17">
        <f t="shared" si="5"/>
        <v>73.44444444444444</v>
      </c>
      <c r="M15" s="17">
        <f t="shared" si="5"/>
        <v>74</v>
      </c>
    </row>
    <row r="16" spans="1:13" ht="12.75">
      <c r="A16" s="112"/>
      <c r="B16" s="1" t="s">
        <v>21</v>
      </c>
      <c r="C16" s="1"/>
      <c r="D16" s="1"/>
      <c r="E16" s="1"/>
      <c r="F16" s="1"/>
      <c r="G16" s="17">
        <f>MEDIAN(G4:G13)</f>
        <v>81</v>
      </c>
      <c r="H16" s="17">
        <f aca="true" t="shared" si="6" ref="H16:M16">MEDIAN(H4:H13)</f>
        <v>86</v>
      </c>
      <c r="I16" s="17">
        <f t="shared" si="6"/>
        <v>85</v>
      </c>
      <c r="J16" s="17">
        <f t="shared" si="6"/>
        <v>83.75</v>
      </c>
      <c r="K16" s="17">
        <f t="shared" si="6"/>
        <v>90</v>
      </c>
      <c r="L16" s="17">
        <f t="shared" si="6"/>
        <v>80</v>
      </c>
      <c r="M16" s="17">
        <f t="shared" si="6"/>
        <v>77</v>
      </c>
    </row>
    <row r="17" spans="1:13" ht="12.75">
      <c r="A17" s="112"/>
      <c r="B17" s="1" t="s">
        <v>22</v>
      </c>
      <c r="C17" s="1"/>
      <c r="D17" s="1"/>
      <c r="E17" s="1"/>
      <c r="F17" s="1"/>
      <c r="G17" s="17" t="e">
        <f>MODE(G4:G13)</f>
        <v>#N/A</v>
      </c>
      <c r="H17" s="17">
        <f aca="true" t="shared" si="7" ref="H17:M17">MODE(H4:H13)</f>
        <v>100</v>
      </c>
      <c r="I17" s="17">
        <f t="shared" si="7"/>
        <v>99</v>
      </c>
      <c r="J17" s="17" t="e">
        <f t="shared" si="7"/>
        <v>#N/A</v>
      </c>
      <c r="K17" s="17">
        <f t="shared" si="7"/>
        <v>99</v>
      </c>
      <c r="L17" s="17" t="e">
        <f t="shared" si="7"/>
        <v>#N/A</v>
      </c>
      <c r="M17" s="17">
        <f t="shared" si="7"/>
        <v>60</v>
      </c>
    </row>
    <row r="18" spans="1:13" ht="12.75">
      <c r="A18" s="112"/>
      <c r="B18" s="1" t="s">
        <v>23</v>
      </c>
      <c r="C18" s="1"/>
      <c r="D18" s="1"/>
      <c r="E18" s="1"/>
      <c r="F18" s="1"/>
      <c r="G18" s="1">
        <f>MAX(G4:G13)</f>
        <v>94</v>
      </c>
      <c r="H18" s="1">
        <f aca="true" t="shared" si="8" ref="H18:M18">MAX(H4:H13)</f>
        <v>100</v>
      </c>
      <c r="I18" s="1">
        <f t="shared" si="8"/>
        <v>99</v>
      </c>
      <c r="J18" s="1">
        <f t="shared" si="8"/>
        <v>95.66666666666667</v>
      </c>
      <c r="K18" s="1">
        <f t="shared" si="8"/>
        <v>100</v>
      </c>
      <c r="L18" s="1">
        <f t="shared" si="8"/>
        <v>100</v>
      </c>
      <c r="M18" s="1">
        <f t="shared" si="8"/>
        <v>97</v>
      </c>
    </row>
    <row r="19" spans="1:13" ht="12.75">
      <c r="A19" s="112"/>
      <c r="B19" s="1" t="s">
        <v>24</v>
      </c>
      <c r="C19" s="1"/>
      <c r="D19" s="1"/>
      <c r="E19" s="1"/>
      <c r="F19" s="1"/>
      <c r="G19" s="1">
        <f>MIN(G4:G13)</f>
        <v>45</v>
      </c>
      <c r="H19" s="1">
        <f aca="true" t="shared" si="9" ref="H19:M19">MIN(H4:H13)</f>
        <v>60</v>
      </c>
      <c r="I19" s="1">
        <f t="shared" si="9"/>
        <v>69</v>
      </c>
      <c r="J19" s="1">
        <f t="shared" si="9"/>
        <v>52.5</v>
      </c>
      <c r="K19" s="1">
        <f t="shared" si="9"/>
        <v>40</v>
      </c>
      <c r="L19" s="1">
        <f t="shared" si="9"/>
        <v>45</v>
      </c>
      <c r="M19" s="1">
        <f t="shared" si="9"/>
        <v>44</v>
      </c>
    </row>
    <row r="20" spans="1:13" ht="12.75">
      <c r="A20" s="112"/>
      <c r="B20" s="1" t="s">
        <v>37</v>
      </c>
      <c r="C20" s="1"/>
      <c r="D20" s="1"/>
      <c r="E20" s="1"/>
      <c r="F20" s="1"/>
      <c r="G20" s="1">
        <f>COUNT(G4:G13)</f>
        <v>9</v>
      </c>
      <c r="H20" s="1">
        <f aca="true" t="shared" si="10" ref="H20:M20">COUNT(H4:H13)</f>
        <v>9</v>
      </c>
      <c r="I20" s="1">
        <f t="shared" si="10"/>
        <v>9</v>
      </c>
      <c r="J20" s="1">
        <f t="shared" si="10"/>
        <v>10</v>
      </c>
      <c r="K20" s="1">
        <f t="shared" si="10"/>
        <v>10</v>
      </c>
      <c r="L20" s="1">
        <f t="shared" si="10"/>
        <v>9</v>
      </c>
      <c r="M20" s="1">
        <f t="shared" si="10"/>
        <v>10</v>
      </c>
    </row>
    <row r="21" spans="1:13" ht="12.75">
      <c r="A21" s="112"/>
      <c r="B21" s="29" t="s">
        <v>52</v>
      </c>
      <c r="C21" s="1"/>
      <c r="D21" s="1"/>
      <c r="E21" s="1"/>
      <c r="F21" s="1"/>
      <c r="G21" s="1">
        <f>COUNTIF(G4:G13,"&lt; "&amp;$C$36)</f>
        <v>1</v>
      </c>
      <c r="H21" s="1">
        <f aca="true" t="shared" si="11" ref="H21:M21">COUNTIF(H4:H13,"&lt; "&amp;$C$36)</f>
        <v>0</v>
      </c>
      <c r="I21" s="1">
        <f t="shared" si="11"/>
        <v>0</v>
      </c>
      <c r="J21" s="1">
        <f t="shared" si="11"/>
        <v>1</v>
      </c>
      <c r="K21" s="1">
        <f t="shared" si="11"/>
        <v>2</v>
      </c>
      <c r="L21" s="1">
        <f t="shared" si="11"/>
        <v>2</v>
      </c>
      <c r="M21" s="1">
        <f t="shared" si="11"/>
        <v>1</v>
      </c>
    </row>
    <row r="22" spans="1:13" ht="12.75">
      <c r="A22" s="112"/>
      <c r="B22" s="29" t="s">
        <v>53</v>
      </c>
      <c r="C22" s="1"/>
      <c r="D22" s="1"/>
      <c r="E22" s="1"/>
      <c r="F22" s="1"/>
      <c r="G22" s="1">
        <f>COUNTIF(G4:G13,"&lt; "&amp;$C$37)-G21</f>
        <v>4</v>
      </c>
      <c r="H22" s="1">
        <f aca="true" t="shared" si="12" ref="H22:M22">COUNTIF(H4:H13,"&lt; "&amp;$C$37)-H21</f>
        <v>4</v>
      </c>
      <c r="I22" s="1">
        <f t="shared" si="12"/>
        <v>4</v>
      </c>
      <c r="J22" s="1">
        <f t="shared" si="12"/>
        <v>5</v>
      </c>
      <c r="K22" s="1">
        <f t="shared" si="12"/>
        <v>1</v>
      </c>
      <c r="L22" s="1">
        <f t="shared" si="12"/>
        <v>4</v>
      </c>
      <c r="M22" s="1">
        <f t="shared" si="12"/>
        <v>6</v>
      </c>
    </row>
    <row r="23" spans="1:13" ht="12.75">
      <c r="A23" s="112"/>
      <c r="B23" s="29" t="s">
        <v>51</v>
      </c>
      <c r="C23" s="1"/>
      <c r="D23" s="1"/>
      <c r="E23" s="1"/>
      <c r="F23" s="1"/>
      <c r="G23" s="1">
        <f>COUNTIF(G4:G13,"&gt;= "&amp;$C$37)</f>
        <v>4</v>
      </c>
      <c r="H23" s="1">
        <f aca="true" t="shared" si="13" ref="H23:M23">COUNTIF(H4:H13,"&gt;= "&amp;$C$37)</f>
        <v>5</v>
      </c>
      <c r="I23" s="1">
        <f t="shared" si="13"/>
        <v>5</v>
      </c>
      <c r="J23" s="1">
        <f t="shared" si="13"/>
        <v>4</v>
      </c>
      <c r="K23" s="1">
        <f t="shared" si="13"/>
        <v>7</v>
      </c>
      <c r="L23" s="1">
        <f t="shared" si="13"/>
        <v>3</v>
      </c>
      <c r="M23" s="1">
        <f t="shared" si="13"/>
        <v>3</v>
      </c>
    </row>
    <row r="24" spans="1:13" ht="12.75">
      <c r="A24" s="112"/>
      <c r="B24" s="29" t="s">
        <v>50</v>
      </c>
      <c r="C24" s="1"/>
      <c r="D24" s="1">
        <f>SUMIF(D4:D13,F25,M4:M13)/E25</f>
        <v>70.57142857142857</v>
      </c>
      <c r="E24" s="1"/>
      <c r="F24" s="1"/>
      <c r="G24" s="1"/>
      <c r="H24" s="1"/>
      <c r="I24" s="1"/>
      <c r="J24" s="1"/>
      <c r="K24" s="1"/>
      <c r="L24" s="1"/>
      <c r="M24" s="1"/>
    </row>
    <row r="25" spans="1:13" ht="12.75">
      <c r="A25" s="112"/>
      <c r="B25" s="1" t="s">
        <v>38</v>
      </c>
      <c r="C25" s="1">
        <f>COUNTA(B4:B13)</f>
        <v>10</v>
      </c>
      <c r="D25" s="29" t="s">
        <v>49</v>
      </c>
      <c r="E25" s="1">
        <f>COUNTIF(D4:D13,F25)</f>
        <v>7</v>
      </c>
      <c r="F25" s="29" t="s">
        <v>18</v>
      </c>
      <c r="G25" s="1"/>
      <c r="H25" s="1"/>
      <c r="I25" s="1"/>
      <c r="J25" s="1"/>
      <c r="K25" s="1"/>
      <c r="L25" s="1"/>
      <c r="M25" s="1"/>
    </row>
    <row r="26" spans="11:12" ht="12.75">
      <c r="K26"/>
      <c r="L26"/>
    </row>
    <row r="27" spans="1:12" ht="12.75" customHeight="1">
      <c r="A27" s="105" t="s">
        <v>45</v>
      </c>
      <c r="B27" s="1" t="s">
        <v>25</v>
      </c>
      <c r="C27" s="15">
        <v>0.1</v>
      </c>
      <c r="K27"/>
      <c r="L27"/>
    </row>
    <row r="28" spans="1:12" ht="12.75">
      <c r="A28" s="105"/>
      <c r="B28" s="1" t="s">
        <v>26</v>
      </c>
      <c r="C28" s="15">
        <v>0.1</v>
      </c>
      <c r="K28"/>
      <c r="L28"/>
    </row>
    <row r="29" spans="1:12" ht="12.75">
      <c r="A29" s="105"/>
      <c r="B29" s="1" t="s">
        <v>27</v>
      </c>
      <c r="C29" s="15">
        <v>0.1</v>
      </c>
      <c r="K29"/>
      <c r="L29"/>
    </row>
    <row r="30" spans="1:12" ht="12.75">
      <c r="A30" s="105"/>
      <c r="B30" s="1" t="s">
        <v>28</v>
      </c>
      <c r="C30" s="15">
        <v>0.3</v>
      </c>
      <c r="K30"/>
      <c r="L30"/>
    </row>
    <row r="31" spans="1:12" ht="12.75">
      <c r="A31" s="105"/>
      <c r="B31" s="1" t="s">
        <v>29</v>
      </c>
      <c r="C31" s="15">
        <v>0.4</v>
      </c>
      <c r="K31"/>
      <c r="L31"/>
    </row>
    <row r="32" spans="1:12" ht="12.75">
      <c r="A32" s="105"/>
      <c r="B32" s="1" t="s">
        <v>30</v>
      </c>
      <c r="C32" s="16">
        <f>SUM(C27:C31)</f>
        <v>1</v>
      </c>
      <c r="K32"/>
      <c r="L32"/>
    </row>
    <row r="33" spans="11:12" ht="12.75" customHeight="1">
      <c r="K33"/>
      <c r="L33"/>
    </row>
    <row r="34" spans="1:13" ht="12.75">
      <c r="A34" s="105" t="s">
        <v>46</v>
      </c>
      <c r="B34" s="1"/>
      <c r="C34" s="1" t="s">
        <v>31</v>
      </c>
      <c r="D34" s="1" t="s">
        <v>32</v>
      </c>
      <c r="K34"/>
      <c r="L34"/>
      <c r="M34" s="3"/>
    </row>
    <row r="35" spans="1:13" ht="12.75">
      <c r="A35" s="105"/>
      <c r="B35" s="1" t="s">
        <v>33</v>
      </c>
      <c r="C35" s="17">
        <v>0</v>
      </c>
      <c r="D35" s="17">
        <v>59.49</v>
      </c>
      <c r="E35" s="5"/>
      <c r="F35" s="5"/>
      <c r="K35"/>
      <c r="L35"/>
      <c r="M35" s="4"/>
    </row>
    <row r="36" spans="1:13" ht="12.75">
      <c r="A36" s="105"/>
      <c r="B36" s="1" t="s">
        <v>34</v>
      </c>
      <c r="C36" s="17">
        <v>59.5</v>
      </c>
      <c r="D36" s="17">
        <v>84.49</v>
      </c>
      <c r="E36" s="5"/>
      <c r="F36" s="5"/>
      <c r="K36"/>
      <c r="L36"/>
      <c r="M36" s="3"/>
    </row>
    <row r="37" spans="1:16" s="3" customFormat="1" ht="12.75">
      <c r="A37" s="105"/>
      <c r="B37" s="1" t="s">
        <v>35</v>
      </c>
      <c r="C37" s="17">
        <f>84.5</f>
        <v>84.5</v>
      </c>
      <c r="D37" s="17">
        <v>100</v>
      </c>
      <c r="E37" s="5"/>
      <c r="F37" s="5"/>
      <c r="G37"/>
      <c r="H37"/>
      <c r="I37"/>
      <c r="J37"/>
      <c r="K37"/>
      <c r="L37"/>
      <c r="N37"/>
      <c r="O37"/>
      <c r="P37"/>
    </row>
    <row r="38" spans="1:15" s="3" customFormat="1" ht="12.75">
      <c r="A38"/>
      <c r="B38"/>
      <c r="C38"/>
      <c r="D38"/>
      <c r="E38"/>
      <c r="F38"/>
      <c r="G38"/>
      <c r="H38"/>
      <c r="I38" t="s">
        <v>36</v>
      </c>
      <c r="J38"/>
      <c r="M38"/>
      <c r="N38"/>
      <c r="O38"/>
    </row>
    <row r="39" spans="1:16" s="2" customFormat="1" ht="25.5">
      <c r="A39" s="106" t="s">
        <v>54</v>
      </c>
      <c r="B39" s="33" t="s">
        <v>61</v>
      </c>
      <c r="C39" s="33" t="str">
        <f>C3</f>
        <v>שם הסטודנט</v>
      </c>
      <c r="D39" s="33" t="str">
        <f aca="true" t="shared" si="14" ref="D39:P39">D3</f>
        <v>מגדר</v>
      </c>
      <c r="E39" s="33" t="str">
        <f t="shared" si="14"/>
        <v>מיקוד</v>
      </c>
      <c r="F39" s="33" t="str">
        <f t="shared" si="14"/>
        <v>טלפון</v>
      </c>
      <c r="G39" s="33" t="str">
        <f t="shared" si="14"/>
        <v>ציון ת. 1</v>
      </c>
      <c r="H39" s="33" t="str">
        <f t="shared" si="14"/>
        <v>ציון ת. 2</v>
      </c>
      <c r="I39" s="33" t="str">
        <f t="shared" si="14"/>
        <v>ציון ת. 3</v>
      </c>
      <c r="J39" s="33" t="str">
        <f t="shared" si="14"/>
        <v>ממוצע  תרגילים</v>
      </c>
      <c r="K39" s="33" t="str">
        <f t="shared" si="14"/>
        <v>ציון פרויקט</v>
      </c>
      <c r="L39" s="33" t="str">
        <f t="shared" si="14"/>
        <v>ציון בחינה</v>
      </c>
      <c r="M39" s="33" t="str">
        <f t="shared" si="14"/>
        <v>ציון סופי</v>
      </c>
      <c r="N39" s="33" t="str">
        <f t="shared" si="14"/>
        <v>ציון במילים</v>
      </c>
      <c r="O39" s="33" t="str">
        <f t="shared" si="14"/>
        <v>נשים מצטיינות</v>
      </c>
      <c r="P39" s="33" t="str">
        <f t="shared" si="14"/>
        <v>נשים או מצטיינים</v>
      </c>
    </row>
    <row r="40" spans="1:16" ht="12.75">
      <c r="A40" s="106"/>
      <c r="B40" s="34">
        <v>12345678</v>
      </c>
      <c r="C40" s="1" t="str">
        <f>VLOOKUP($B$40,$B$4:$P$13,2,FALSE)</f>
        <v>דניאל</v>
      </c>
      <c r="D40" s="1" t="str">
        <f>VLOOKUP($B$40,$B$4:$P$13,3,FALSE)</f>
        <v>ז</v>
      </c>
      <c r="E40" s="1">
        <f>VLOOKUP($B$40,$B$4:$P$13,4,FALSE)</f>
        <v>123</v>
      </c>
      <c r="F40" s="1">
        <f>VLOOKUP($B$40,$B$4:$P$13,5,FALSE)</f>
        <v>9877665</v>
      </c>
      <c r="G40" s="1">
        <f>VLOOKUP($B$40,$B$4:$P$13,6,FALSE)</f>
        <v>89</v>
      </c>
      <c r="H40" s="1">
        <f>VLOOKUP($B$40,$B$4:$P$13,7,FALSE)</f>
        <v>86</v>
      </c>
      <c r="I40" s="1">
        <f>VLOOKUP($B$40,$B$4:$P$13,8,FALSE)</f>
        <v>99</v>
      </c>
      <c r="J40" s="1">
        <f>VLOOKUP($B$40,$B$4:$P$13,9,FALSE)</f>
        <v>91.33333333333333</v>
      </c>
      <c r="K40" s="1">
        <f>VLOOKUP($B$40,$B$4:$P$13,10,FALSE)</f>
        <v>99</v>
      </c>
      <c r="L40" s="1">
        <f>VLOOKUP($B$40,$B$4:$P$13,11,FALSE)</f>
        <v>80</v>
      </c>
      <c r="M40" s="1">
        <f>VLOOKUP($B$40,$B$4:$P$13,12,FALSE)</f>
        <v>89</v>
      </c>
      <c r="N40" s="1" t="str">
        <f>VLOOKUP($B$40,$B$4:$P$13,13,FALSE)</f>
        <v>מצטיין</v>
      </c>
      <c r="O40" s="1">
        <f>VLOOKUP($B$40,$B$4:$P$13,14,FALSE)</f>
      </c>
      <c r="P40" s="1" t="str">
        <f>VLOOKUP($B$40,$B$4:$P$13,15,FALSE)</f>
        <v>מלגה</v>
      </c>
    </row>
  </sheetData>
  <sheetProtection/>
  <autoFilter ref="B3:P13"/>
  <mergeCells count="6">
    <mergeCell ref="A34:A37"/>
    <mergeCell ref="A39:A40"/>
    <mergeCell ref="A1:P1"/>
    <mergeCell ref="A3:A13"/>
    <mergeCell ref="A15:A25"/>
    <mergeCell ref="A27:A32"/>
  </mergeCells>
  <conditionalFormatting sqref="N4:N13">
    <cfRule type="cellIs" priority="2" dxfId="6" operator="equal" stopIfTrue="1">
      <formula>$B$37</formula>
    </cfRule>
    <cfRule type="cellIs" priority="3" dxfId="5" operator="equal" stopIfTrue="1">
      <formula>$B$36</formula>
    </cfRule>
    <cfRule type="cellIs" priority="4" dxfId="4" operator="equal" stopIfTrue="1">
      <formula>$B$35</formula>
    </cfRule>
  </conditionalFormatting>
  <conditionalFormatting sqref="B4:P13">
    <cfRule type="expression" priority="1" dxfId="2" stopIfTrue="1">
      <formula>$N4=$B$35</formula>
    </cfRule>
  </conditionalFormatting>
  <printOptions/>
  <pageMargins left="0.75" right="0.75" top="1" bottom="1" header="0.5" footer="0.5"/>
  <pageSetup horizontalDpi="360" verticalDpi="360" orientation="portrait" paperSize="9" r:id="rId4"/>
  <ignoredErrors>
    <ignoredError sqref="J4:J13" formulaRange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</sheetPr>
  <dimension ref="A1:M25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11.00390625" style="122" bestFit="1" customWidth="1"/>
    <col min="2" max="2" width="9.140625" style="122" customWidth="1"/>
    <col min="3" max="3" width="9.57421875" style="122" bestFit="1" customWidth="1"/>
    <col min="4" max="4" width="11.140625" style="122" customWidth="1"/>
    <col min="5" max="6" width="15.57421875" style="122" bestFit="1" customWidth="1"/>
    <col min="7" max="8" width="11.00390625" style="122" bestFit="1" customWidth="1"/>
    <col min="9" max="10" width="9.140625" style="122" customWidth="1"/>
    <col min="11" max="12" width="9.57421875" style="122" bestFit="1" customWidth="1"/>
    <col min="13" max="16384" width="9.140625" style="122" customWidth="1"/>
  </cols>
  <sheetData>
    <row r="1" spans="10:13" ht="12.75">
      <c r="J1" s="123"/>
      <c r="K1" s="123"/>
      <c r="L1" s="123"/>
      <c r="M1" s="123"/>
    </row>
    <row r="2" spans="1:4" ht="13.5" thickBot="1">
      <c r="A2" s="124"/>
      <c r="B2" s="124"/>
      <c r="C2" s="124"/>
      <c r="D2" s="125"/>
    </row>
    <row r="3" spans="1:10" ht="18.75" thickBot="1">
      <c r="A3" s="124"/>
      <c r="B3" s="124"/>
      <c r="C3" s="126" t="s">
        <v>146</v>
      </c>
      <c r="D3" s="127"/>
      <c r="E3" s="127"/>
      <c r="F3" s="127"/>
      <c r="G3" s="127"/>
      <c r="H3" s="127"/>
      <c r="I3" s="127"/>
      <c r="J3" s="128"/>
    </row>
    <row r="4" spans="1:4" ht="13.5" thickBot="1">
      <c r="A4" s="124"/>
      <c r="B4" s="124"/>
      <c r="C4" s="124"/>
      <c r="D4" s="125"/>
    </row>
    <row r="5" spans="1:12" ht="52.5" thickBot="1" thickTop="1">
      <c r="A5" s="129" t="s">
        <v>147</v>
      </c>
      <c r="B5" s="129" t="s">
        <v>148</v>
      </c>
      <c r="C5" s="129" t="s">
        <v>149</v>
      </c>
      <c r="D5" s="129" t="s">
        <v>150</v>
      </c>
      <c r="E5" s="129" t="s">
        <v>151</v>
      </c>
      <c r="F5" s="129" t="s">
        <v>152</v>
      </c>
      <c r="G5" s="129" t="s">
        <v>153</v>
      </c>
      <c r="H5" s="129" t="s">
        <v>154</v>
      </c>
      <c r="I5" s="129" t="s">
        <v>155</v>
      </c>
      <c r="J5" s="129" t="s">
        <v>156</v>
      </c>
      <c r="K5" s="130" t="s">
        <v>157</v>
      </c>
      <c r="L5" s="130" t="s">
        <v>158</v>
      </c>
    </row>
    <row r="6" spans="1:12" ht="13.5" thickTop="1">
      <c r="A6" s="131" t="s">
        <v>159</v>
      </c>
      <c r="B6" s="131" t="s">
        <v>18</v>
      </c>
      <c r="C6" s="131" t="s">
        <v>160</v>
      </c>
      <c r="D6" s="132" t="str">
        <f>RIGHT(H6,LEN(H6)-FIND(" ",H6))</f>
        <v>שרביב</v>
      </c>
      <c r="E6" s="132" t="str">
        <f>LEFT(H6,FIND(" ",H6)-1)</f>
        <v>יעל</v>
      </c>
      <c r="F6" s="133" t="str">
        <f>CONCATENATE(D6,"-",B6,"-",C6)</f>
        <v>שרביב-נ-בית-בירם</v>
      </c>
      <c r="G6" s="134">
        <v>6</v>
      </c>
      <c r="H6" s="133" t="str">
        <f>TRIM(A6)</f>
        <v>יעל שרביב</v>
      </c>
      <c r="I6" s="133" t="str">
        <f>RIGHT(H6,1)</f>
        <v>ב</v>
      </c>
      <c r="J6" s="133" t="str">
        <f>LEFT(H6,1)</f>
        <v>י</v>
      </c>
      <c r="K6" s="135">
        <f>LEN(D6)</f>
        <v>5</v>
      </c>
      <c r="L6" s="135" t="str">
        <f>SUBSTITUTE(C6,$A$21,$A$22)</f>
        <v>בית-בירם</v>
      </c>
    </row>
    <row r="7" spans="1:12" ht="12.75">
      <c r="A7" s="136" t="s">
        <v>161</v>
      </c>
      <c r="B7" s="136" t="s">
        <v>18</v>
      </c>
      <c r="C7" s="136" t="s">
        <v>162</v>
      </c>
      <c r="D7" s="132" t="str">
        <f aca="true" t="shared" si="0" ref="D7:D15">RIGHT(H7,LEN(H7)-FIND(" ",H7))</f>
        <v>זמורה</v>
      </c>
      <c r="E7" s="132" t="str">
        <f aca="true" t="shared" si="1" ref="E7:E15">LEFT(H7,FIND(" ",H7)-1)</f>
        <v>קרן</v>
      </c>
      <c r="F7" s="133" t="str">
        <f aca="true" t="shared" si="2" ref="F7:F15">CONCATENATE(D7,"-",B7,"-",C7)</f>
        <v>זמורה-נ-רעננה</v>
      </c>
      <c r="G7" s="134">
        <v>7</v>
      </c>
      <c r="H7" s="133" t="str">
        <f aca="true" t="shared" si="3" ref="H7:H15">TRIM(A7)</f>
        <v>קרן זמורה</v>
      </c>
      <c r="I7" s="133" t="str">
        <f aca="true" t="shared" si="4" ref="I7:I15">RIGHT(H7,1)</f>
        <v>ה</v>
      </c>
      <c r="J7" s="133" t="str">
        <f aca="true" t="shared" si="5" ref="J7:J15">LEFT(H7,1)</f>
        <v>ק</v>
      </c>
      <c r="K7" s="135">
        <f aca="true" t="shared" si="6" ref="K7:K15">LEN(D7)</f>
        <v>5</v>
      </c>
      <c r="L7" s="135" t="str">
        <f aca="true" t="shared" si="7" ref="L7:L15">SUBSTITUTE(C7,$A$21,$A$22)</f>
        <v>הכפר הירוק</v>
      </c>
    </row>
    <row r="8" spans="1:12" ht="12.75">
      <c r="A8" s="136" t="s">
        <v>163</v>
      </c>
      <c r="B8" s="136" t="s">
        <v>17</v>
      </c>
      <c r="C8" s="136" t="s">
        <v>164</v>
      </c>
      <c r="D8" s="132" t="str">
        <f t="shared" si="0"/>
        <v>יאיר</v>
      </c>
      <c r="E8" s="132" t="str">
        <f t="shared" si="1"/>
        <v>שחר</v>
      </c>
      <c r="F8" s="133" t="str">
        <f t="shared" si="2"/>
        <v>יאיר-ז-קרית חיים</v>
      </c>
      <c r="G8" s="134">
        <v>5</v>
      </c>
      <c r="H8" s="133" t="str">
        <f t="shared" si="3"/>
        <v>שחר יאיר</v>
      </c>
      <c r="I8" s="133" t="str">
        <f t="shared" si="4"/>
        <v>ר</v>
      </c>
      <c r="J8" s="133" t="str">
        <f t="shared" si="5"/>
        <v>ש</v>
      </c>
      <c r="K8" s="135">
        <f t="shared" si="6"/>
        <v>4</v>
      </c>
      <c r="L8" s="135" t="str">
        <f t="shared" si="7"/>
        <v>קרית חיים</v>
      </c>
    </row>
    <row r="9" spans="1:12" ht="12.75">
      <c r="A9" s="136" t="s">
        <v>165</v>
      </c>
      <c r="B9" s="136" t="s">
        <v>18</v>
      </c>
      <c r="C9" s="136" t="s">
        <v>166</v>
      </c>
      <c r="D9" s="132" t="str">
        <f t="shared" si="0"/>
        <v>רוטנברג</v>
      </c>
      <c r="E9" s="132" t="str">
        <f t="shared" si="1"/>
        <v>שחר</v>
      </c>
      <c r="F9" s="133" t="str">
        <f t="shared" si="2"/>
        <v>רוטנברג-נ-ירושלים</v>
      </c>
      <c r="G9" s="134">
        <v>8</v>
      </c>
      <c r="H9" s="133" t="str">
        <f t="shared" si="3"/>
        <v>שחר רוטנברג</v>
      </c>
      <c r="I9" s="133" t="str">
        <f t="shared" si="4"/>
        <v>ג</v>
      </c>
      <c r="J9" s="133" t="str">
        <f t="shared" si="5"/>
        <v>ש</v>
      </c>
      <c r="K9" s="135">
        <f t="shared" si="6"/>
        <v>7</v>
      </c>
      <c r="L9" s="135" t="str">
        <f t="shared" si="7"/>
        <v>ירושלים</v>
      </c>
    </row>
    <row r="10" spans="1:12" ht="12.75">
      <c r="A10" s="136" t="s">
        <v>167</v>
      </c>
      <c r="B10" s="136" t="s">
        <v>18</v>
      </c>
      <c r="C10" s="136" t="s">
        <v>168</v>
      </c>
      <c r="D10" s="132" t="str">
        <f t="shared" si="0"/>
        <v>חדד</v>
      </c>
      <c r="E10" s="132" t="str">
        <f t="shared" si="1"/>
        <v>טלי</v>
      </c>
      <c r="F10" s="133" t="str">
        <f t="shared" si="2"/>
        <v>חדד-נ-הכפר הירוק</v>
      </c>
      <c r="G10" s="134">
        <v>0</v>
      </c>
      <c r="H10" s="133" t="str">
        <f t="shared" si="3"/>
        <v>טלי חדד</v>
      </c>
      <c r="I10" s="133" t="str">
        <f t="shared" si="4"/>
        <v>ד</v>
      </c>
      <c r="J10" s="133" t="str">
        <f t="shared" si="5"/>
        <v>ט</v>
      </c>
      <c r="K10" s="135">
        <f t="shared" si="6"/>
        <v>3</v>
      </c>
      <c r="L10" s="135" t="str">
        <f t="shared" si="7"/>
        <v>הכפר הירוק</v>
      </c>
    </row>
    <row r="11" spans="1:12" ht="12.75">
      <c r="A11" s="136" t="s">
        <v>169</v>
      </c>
      <c r="B11" s="136" t="s">
        <v>18</v>
      </c>
      <c r="C11" s="136" t="s">
        <v>160</v>
      </c>
      <c r="D11" s="132" t="str">
        <f t="shared" si="0"/>
        <v>אבוקסיס</v>
      </c>
      <c r="E11" s="132" t="str">
        <f t="shared" si="1"/>
        <v>מיכל</v>
      </c>
      <c r="F11" s="133" t="str">
        <f t="shared" si="2"/>
        <v>אבוקסיס-נ-בית-בירם</v>
      </c>
      <c r="G11" s="134">
        <v>4</v>
      </c>
      <c r="H11" s="133" t="str">
        <f t="shared" si="3"/>
        <v>מיכל אבוקסיס</v>
      </c>
      <c r="I11" s="133" t="str">
        <f t="shared" si="4"/>
        <v>ס</v>
      </c>
      <c r="J11" s="133" t="str">
        <f t="shared" si="5"/>
        <v>מ</v>
      </c>
      <c r="K11" s="135">
        <f t="shared" si="6"/>
        <v>7</v>
      </c>
      <c r="L11" s="135" t="str">
        <f t="shared" si="7"/>
        <v>בית-בירם</v>
      </c>
    </row>
    <row r="12" spans="1:12" ht="12.75">
      <c r="A12" s="136" t="s">
        <v>170</v>
      </c>
      <c r="B12" s="136" t="s">
        <v>18</v>
      </c>
      <c r="C12" s="136" t="s">
        <v>166</v>
      </c>
      <c r="D12" s="132" t="str">
        <f t="shared" si="0"/>
        <v>רווח</v>
      </c>
      <c r="E12" s="132" t="str">
        <f t="shared" si="1"/>
        <v>מיכל</v>
      </c>
      <c r="F12" s="133" t="str">
        <f t="shared" si="2"/>
        <v>רווח-נ-ירושלים</v>
      </c>
      <c r="G12" s="134">
        <v>6</v>
      </c>
      <c r="H12" s="133" t="str">
        <f t="shared" si="3"/>
        <v>מיכל רווח</v>
      </c>
      <c r="I12" s="133" t="str">
        <f t="shared" si="4"/>
        <v>ח</v>
      </c>
      <c r="J12" s="133" t="str">
        <f t="shared" si="5"/>
        <v>מ</v>
      </c>
      <c r="K12" s="135">
        <f t="shared" si="6"/>
        <v>4</v>
      </c>
      <c r="L12" s="135" t="str">
        <f t="shared" si="7"/>
        <v>ירושלים</v>
      </c>
    </row>
    <row r="13" spans="1:12" ht="12.75">
      <c r="A13" s="136" t="s">
        <v>171</v>
      </c>
      <c r="B13" s="136" t="s">
        <v>18</v>
      </c>
      <c r="C13" s="136" t="s">
        <v>164</v>
      </c>
      <c r="D13" s="132" t="str">
        <f t="shared" si="0"/>
        <v>ליבנה</v>
      </c>
      <c r="E13" s="132" t="str">
        <f t="shared" si="1"/>
        <v>שלומית</v>
      </c>
      <c r="F13" s="133" t="str">
        <f t="shared" si="2"/>
        <v>ליבנה-נ-קרית חיים</v>
      </c>
      <c r="G13" s="134">
        <v>7</v>
      </c>
      <c r="H13" s="133" t="str">
        <f t="shared" si="3"/>
        <v>שלומית ליבנה</v>
      </c>
      <c r="I13" s="133" t="str">
        <f t="shared" si="4"/>
        <v>ה</v>
      </c>
      <c r="J13" s="133" t="str">
        <f t="shared" si="5"/>
        <v>ש</v>
      </c>
      <c r="K13" s="135">
        <f t="shared" si="6"/>
        <v>5</v>
      </c>
      <c r="L13" s="135" t="str">
        <f t="shared" si="7"/>
        <v>קרית חיים</v>
      </c>
    </row>
    <row r="14" spans="1:12" ht="12.75">
      <c r="A14" s="136" t="s">
        <v>172</v>
      </c>
      <c r="B14" s="136" t="s">
        <v>17</v>
      </c>
      <c r="C14" s="136" t="s">
        <v>162</v>
      </c>
      <c r="D14" s="132" t="str">
        <f t="shared" si="0"/>
        <v>פלד</v>
      </c>
      <c r="E14" s="132" t="str">
        <f t="shared" si="1"/>
        <v>דניאל</v>
      </c>
      <c r="F14" s="133" t="str">
        <f t="shared" si="2"/>
        <v>פלד-ז-רעננה</v>
      </c>
      <c r="G14" s="134">
        <v>2</v>
      </c>
      <c r="H14" s="133" t="str">
        <f t="shared" si="3"/>
        <v>דניאל פלד</v>
      </c>
      <c r="I14" s="133" t="str">
        <f t="shared" si="4"/>
        <v>ד</v>
      </c>
      <c r="J14" s="133" t="str">
        <f t="shared" si="5"/>
        <v>ד</v>
      </c>
      <c r="K14" s="135">
        <f t="shared" si="6"/>
        <v>3</v>
      </c>
      <c r="L14" s="135" t="str">
        <f t="shared" si="7"/>
        <v>הכפר הירוק</v>
      </c>
    </row>
    <row r="15" spans="1:12" ht="12.75">
      <c r="A15" s="136" t="s">
        <v>173</v>
      </c>
      <c r="B15" s="136" t="s">
        <v>17</v>
      </c>
      <c r="C15" s="136" t="s">
        <v>166</v>
      </c>
      <c r="D15" s="132" t="str">
        <f t="shared" si="0"/>
        <v>שוששוילי</v>
      </c>
      <c r="E15" s="132" t="str">
        <f t="shared" si="1"/>
        <v>רמי</v>
      </c>
      <c r="F15" s="133" t="str">
        <f t="shared" si="2"/>
        <v>שוששוילי-ז-ירושלים</v>
      </c>
      <c r="G15" s="134">
        <v>8</v>
      </c>
      <c r="H15" s="133" t="str">
        <f t="shared" si="3"/>
        <v>רמי שוששוילי</v>
      </c>
      <c r="I15" s="133" t="str">
        <f t="shared" si="4"/>
        <v>י</v>
      </c>
      <c r="J15" s="133" t="str">
        <f t="shared" si="5"/>
        <v>ר</v>
      </c>
      <c r="K15" s="135">
        <f t="shared" si="6"/>
        <v>8</v>
      </c>
      <c r="L15" s="135" t="str">
        <f t="shared" si="7"/>
        <v>ירושלים</v>
      </c>
    </row>
    <row r="16" ht="12.75"/>
    <row r="17" ht="12.75"/>
    <row r="18" ht="12.75"/>
    <row r="19" spans="1:11" ht="12.75">
      <c r="A19" s="137" t="s">
        <v>124</v>
      </c>
      <c r="B19" s="137"/>
      <c r="F19" s="138" t="s">
        <v>174</v>
      </c>
      <c r="G19" s="139"/>
      <c r="H19" s="139"/>
      <c r="I19" s="139"/>
      <c r="J19" s="140"/>
      <c r="K19" s="141">
        <f>LEN(H15)</f>
        <v>12</v>
      </c>
    </row>
    <row r="20" spans="1:11" ht="12.75">
      <c r="A20" s="142"/>
      <c r="B20" s="142"/>
      <c r="F20" s="143" t="s">
        <v>175</v>
      </c>
      <c r="G20" s="143"/>
      <c r="H20" s="143"/>
      <c r="I20" s="143"/>
      <c r="J20" s="143"/>
      <c r="K20" s="141">
        <f>FIND(" ",H6)-1</f>
        <v>3</v>
      </c>
    </row>
    <row r="21" spans="1:11" ht="12.75">
      <c r="A21" s="136" t="s">
        <v>162</v>
      </c>
      <c r="B21" s="142"/>
      <c r="F21" s="143" t="s">
        <v>176</v>
      </c>
      <c r="G21" s="143"/>
      <c r="H21" s="143"/>
      <c r="I21" s="143"/>
      <c r="J21" s="143"/>
      <c r="K21" s="141" t="str">
        <f>REPLACE(H10,FIND(" ",H10)+1,K10,A23)</f>
        <v>טלי פלד</v>
      </c>
    </row>
    <row r="22" spans="1:11" ht="12.75">
      <c r="A22" s="136" t="s">
        <v>168</v>
      </c>
      <c r="B22" s="142"/>
      <c r="F22" s="143" t="s">
        <v>177</v>
      </c>
      <c r="G22" s="143"/>
      <c r="H22" s="143"/>
      <c r="I22" s="143"/>
      <c r="J22" s="143"/>
      <c r="K22" s="141" t="str">
        <f>IF(EXACT(B8,B9),A24,A25)</f>
        <v>שונה</v>
      </c>
    </row>
    <row r="23" spans="1:2" ht="12.75">
      <c r="A23" s="142" t="s">
        <v>178</v>
      </c>
      <c r="B23" s="142"/>
    </row>
    <row r="24" spans="1:2" ht="12.75">
      <c r="A24" s="144" t="s">
        <v>179</v>
      </c>
      <c r="B24" s="142"/>
    </row>
    <row r="25" spans="1:2" ht="12.75">
      <c r="A25" s="144" t="s">
        <v>180</v>
      </c>
      <c r="B25" s="142"/>
    </row>
  </sheetData>
  <sheetProtection/>
  <mergeCells count="6">
    <mergeCell ref="C3:J3"/>
    <mergeCell ref="A19:B19"/>
    <mergeCell ref="F19:J19"/>
    <mergeCell ref="F20:J20"/>
    <mergeCell ref="F21:J21"/>
    <mergeCell ref="F22:J22"/>
  </mergeCells>
  <dataValidations count="1">
    <dataValidation allowBlank="1" showInputMessage="1" showErrorMessage="1" errorTitle="ציון שגוי" error="הקלד/י ציון בין 0-100" sqref="H6:H15 F6:F15"/>
  </dataValidations>
  <printOptions/>
  <pageMargins left="0.75" right="0.75" top="1" bottom="1" header="0.5" footer="0.5"/>
  <pageSetup orientation="portrait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2:O30"/>
  <sheetViews>
    <sheetView rightToLeft="1" zoomScale="130" zoomScaleNormal="130" zoomScalePageLayoutView="0" workbookViewId="0" topLeftCell="A1">
      <selection activeCell="A4" sqref="A4"/>
    </sheetView>
  </sheetViews>
  <sheetFormatPr defaultColWidth="9.140625" defaultRowHeight="12.75"/>
  <cols>
    <col min="1" max="1" width="8.140625" style="122" bestFit="1" customWidth="1"/>
    <col min="2" max="2" width="8.8515625" style="122" bestFit="1" customWidth="1"/>
    <col min="3" max="3" width="10.7109375" style="122" bestFit="1" customWidth="1"/>
    <col min="4" max="4" width="5.57421875" style="122" bestFit="1" customWidth="1"/>
    <col min="5" max="5" width="7.421875" style="122" bestFit="1" customWidth="1"/>
    <col min="6" max="7" width="9.140625" style="122" customWidth="1"/>
    <col min="8" max="8" width="12.00390625" style="122" bestFit="1" customWidth="1"/>
    <col min="9" max="9" width="14.421875" style="122" bestFit="1" customWidth="1"/>
    <col min="10" max="10" width="9.140625" style="122" customWidth="1"/>
    <col min="11" max="11" width="9.7109375" style="122" bestFit="1" customWidth="1"/>
    <col min="12" max="12" width="12.28125" style="122" bestFit="1" customWidth="1"/>
    <col min="13" max="13" width="9.140625" style="122" customWidth="1"/>
    <col min="14" max="14" width="9.7109375" style="122" bestFit="1" customWidth="1"/>
    <col min="15" max="15" width="18.00390625" style="122" bestFit="1" customWidth="1"/>
    <col min="16" max="16384" width="9.140625" style="122" customWidth="1"/>
  </cols>
  <sheetData>
    <row r="1" ht="12.75"/>
    <row r="2" spans="5:8" ht="20.25">
      <c r="E2" s="171" t="s">
        <v>227</v>
      </c>
      <c r="F2" s="171"/>
      <c r="G2" s="171"/>
      <c r="H2" s="171"/>
    </row>
    <row r="3" spans="1:10" s="147" customFormat="1" ht="51">
      <c r="A3" s="172" t="s">
        <v>228</v>
      </c>
      <c r="B3" s="172" t="s">
        <v>229</v>
      </c>
      <c r="C3" s="172" t="s">
        <v>230</v>
      </c>
      <c r="D3" s="172" t="s">
        <v>231</v>
      </c>
      <c r="E3" s="172" t="s">
        <v>232</v>
      </c>
      <c r="F3" s="172" t="s">
        <v>233</v>
      </c>
      <c r="G3" s="172" t="s">
        <v>234</v>
      </c>
      <c r="H3" s="172" t="s">
        <v>235</v>
      </c>
      <c r="I3" s="172" t="s">
        <v>236</v>
      </c>
      <c r="J3" s="172" t="s">
        <v>237</v>
      </c>
    </row>
    <row r="4" spans="1:14" ht="12.75">
      <c r="A4" s="173" t="s">
        <v>238</v>
      </c>
      <c r="B4" s="142">
        <v>1234567</v>
      </c>
      <c r="C4" s="174">
        <v>37751</v>
      </c>
      <c r="D4" s="175">
        <v>0.3333333333333333</v>
      </c>
      <c r="E4" s="175">
        <v>0.6458333333333334</v>
      </c>
      <c r="F4" s="175" t="s">
        <v>183</v>
      </c>
      <c r="G4" s="176" t="s">
        <v>183</v>
      </c>
      <c r="H4" s="142">
        <v>8</v>
      </c>
      <c r="I4" s="177" t="s">
        <v>183</v>
      </c>
      <c r="J4" s="178" t="s">
        <v>183</v>
      </c>
      <c r="M4" s="179"/>
      <c r="N4" s="180"/>
    </row>
    <row r="5" spans="1:14" ht="12.75">
      <c r="A5" s="173" t="s">
        <v>239</v>
      </c>
      <c r="B5" s="142">
        <v>8901234</v>
      </c>
      <c r="C5" s="174">
        <v>35009</v>
      </c>
      <c r="D5" s="175">
        <v>0.4166666666666667</v>
      </c>
      <c r="E5" s="175">
        <v>0.6666666666666666</v>
      </c>
      <c r="F5" s="175" t="s">
        <v>183</v>
      </c>
      <c r="G5" s="176" t="s">
        <v>183</v>
      </c>
      <c r="H5" s="142">
        <v>8.5</v>
      </c>
      <c r="I5" s="177" t="s">
        <v>183</v>
      </c>
      <c r="J5" s="178" t="s">
        <v>183</v>
      </c>
      <c r="M5" s="179"/>
      <c r="N5" s="180"/>
    </row>
    <row r="6" spans="1:14" ht="12.75">
      <c r="A6" s="173" t="s">
        <v>240</v>
      </c>
      <c r="B6" s="142">
        <v>5678901</v>
      </c>
      <c r="C6" s="174">
        <v>36149</v>
      </c>
      <c r="D6" s="175">
        <v>0.3333333333333333</v>
      </c>
      <c r="E6" s="175">
        <v>0.625</v>
      </c>
      <c r="F6" s="175" t="s">
        <v>183</v>
      </c>
      <c r="G6" s="176" t="s">
        <v>183</v>
      </c>
      <c r="H6" s="142">
        <v>7</v>
      </c>
      <c r="I6" s="177" t="s">
        <v>183</v>
      </c>
      <c r="J6" s="178" t="s">
        <v>183</v>
      </c>
      <c r="M6" s="179"/>
      <c r="N6" s="180"/>
    </row>
    <row r="7" spans="1:14" ht="12.75">
      <c r="A7" s="173" t="s">
        <v>241</v>
      </c>
      <c r="B7" s="142">
        <v>2345678</v>
      </c>
      <c r="C7" s="174">
        <v>36683</v>
      </c>
      <c r="D7" s="175">
        <v>0.8333333333333334</v>
      </c>
      <c r="E7" s="175">
        <v>0.22916666666666666</v>
      </c>
      <c r="F7" s="175" t="s">
        <v>183</v>
      </c>
      <c r="G7" s="176" t="s">
        <v>183</v>
      </c>
      <c r="H7" s="142">
        <v>9</v>
      </c>
      <c r="I7" s="177" t="s">
        <v>183</v>
      </c>
      <c r="J7" s="178" t="s">
        <v>183</v>
      </c>
      <c r="M7" s="179"/>
      <c r="N7" s="180"/>
    </row>
    <row r="8" spans="1:14" ht="12.75">
      <c r="A8" s="173" t="s">
        <v>242</v>
      </c>
      <c r="B8" s="142">
        <v>9012345</v>
      </c>
      <c r="C8" s="174">
        <v>38011</v>
      </c>
      <c r="D8" s="175">
        <v>0.9166666666666666</v>
      </c>
      <c r="E8" s="175">
        <v>0.28125</v>
      </c>
      <c r="F8" s="175" t="s">
        <v>183</v>
      </c>
      <c r="G8" s="176" t="s">
        <v>183</v>
      </c>
      <c r="H8" s="142">
        <v>9</v>
      </c>
      <c r="I8" s="177" t="s">
        <v>183</v>
      </c>
      <c r="J8" s="178" t="s">
        <v>183</v>
      </c>
      <c r="M8" s="179"/>
      <c r="N8" s="180"/>
    </row>
    <row r="9" spans="1:14" ht="12.75">
      <c r="A9" s="173" t="s">
        <v>243</v>
      </c>
      <c r="B9" s="142">
        <v>6789012</v>
      </c>
      <c r="C9" s="174">
        <v>37164</v>
      </c>
      <c r="D9" s="175">
        <v>0.9791666666666666</v>
      </c>
      <c r="E9" s="175">
        <v>0.25</v>
      </c>
      <c r="F9" s="175" t="s">
        <v>183</v>
      </c>
      <c r="G9" s="176" t="s">
        <v>183</v>
      </c>
      <c r="H9" s="142">
        <v>7</v>
      </c>
      <c r="I9" s="177" t="s">
        <v>183</v>
      </c>
      <c r="J9" s="178" t="s">
        <v>183</v>
      </c>
      <c r="M9" s="179"/>
      <c r="N9" s="180"/>
    </row>
    <row r="10" spans="1:14" ht="12.75">
      <c r="A10" s="173" t="s">
        <v>244</v>
      </c>
      <c r="B10" s="142">
        <v>3456789</v>
      </c>
      <c r="C10" s="174">
        <v>37325</v>
      </c>
      <c r="D10" s="175">
        <v>0.53125</v>
      </c>
      <c r="E10" s="175">
        <v>0.7708333333333334</v>
      </c>
      <c r="F10" s="175" t="s">
        <v>183</v>
      </c>
      <c r="G10" s="176" t="s">
        <v>183</v>
      </c>
      <c r="H10" s="142">
        <v>6</v>
      </c>
      <c r="I10" s="177" t="s">
        <v>183</v>
      </c>
      <c r="J10" s="178" t="s">
        <v>183</v>
      </c>
      <c r="M10" s="179"/>
      <c r="N10" s="180"/>
    </row>
    <row r="11" spans="1:14" ht="12.75">
      <c r="A11" s="173" t="s">
        <v>245</v>
      </c>
      <c r="B11" s="142">
        <v>9123456</v>
      </c>
      <c r="C11" s="174">
        <v>38635</v>
      </c>
      <c r="D11" s="175">
        <v>0.8958333333333334</v>
      </c>
      <c r="E11" s="175">
        <v>0.15625</v>
      </c>
      <c r="F11" s="175" t="s">
        <v>183</v>
      </c>
      <c r="G11" s="176" t="s">
        <v>183</v>
      </c>
      <c r="H11" s="142">
        <v>6</v>
      </c>
      <c r="I11" s="177" t="s">
        <v>183</v>
      </c>
      <c r="J11" s="178" t="s">
        <v>183</v>
      </c>
      <c r="M11" s="179"/>
      <c r="N11" s="180"/>
    </row>
    <row r="12" spans="1:14" ht="12.75">
      <c r="A12" s="173" t="s">
        <v>246</v>
      </c>
      <c r="B12" s="142">
        <v>7890123</v>
      </c>
      <c r="C12" s="174">
        <v>36697</v>
      </c>
      <c r="D12" s="175">
        <v>0.375</v>
      </c>
      <c r="E12" s="175">
        <v>0.625</v>
      </c>
      <c r="F12" s="175" t="s">
        <v>183</v>
      </c>
      <c r="G12" s="176" t="s">
        <v>183</v>
      </c>
      <c r="H12" s="142">
        <v>5</v>
      </c>
      <c r="I12" s="177" t="s">
        <v>183</v>
      </c>
      <c r="J12" s="178" t="s">
        <v>183</v>
      </c>
      <c r="M12" s="179"/>
      <c r="N12" s="180"/>
    </row>
    <row r="13" spans="1:14" ht="12.75">
      <c r="A13" s="173" t="s">
        <v>247</v>
      </c>
      <c r="B13" s="142">
        <v>4567890</v>
      </c>
      <c r="C13" s="174">
        <v>37087</v>
      </c>
      <c r="D13" s="175">
        <v>0.4583333333333333</v>
      </c>
      <c r="E13" s="175">
        <v>0.7083333333333334</v>
      </c>
      <c r="F13" s="175" t="s">
        <v>183</v>
      </c>
      <c r="G13" s="176" t="s">
        <v>183</v>
      </c>
      <c r="H13" s="142">
        <v>5.5</v>
      </c>
      <c r="I13" s="177" t="s">
        <v>183</v>
      </c>
      <c r="J13" s="178" t="s">
        <v>183</v>
      </c>
      <c r="M13" s="179"/>
      <c r="N13" s="180"/>
    </row>
    <row r="14" ht="12.75">
      <c r="L14" s="179"/>
    </row>
    <row r="15" spans="6:12" ht="12.75">
      <c r="F15" s="181" t="s">
        <v>248</v>
      </c>
      <c r="G15" s="182"/>
      <c r="H15" s="183"/>
      <c r="L15" s="179"/>
    </row>
    <row r="16" spans="5:12" ht="12.75">
      <c r="E16" s="184" t="s">
        <v>249</v>
      </c>
      <c r="F16" s="184"/>
      <c r="G16" s="184"/>
      <c r="H16" s="184"/>
      <c r="I16" s="185" t="s">
        <v>183</v>
      </c>
      <c r="L16" s="179"/>
    </row>
    <row r="17" spans="1:12" ht="12.75">
      <c r="A17" s="186"/>
      <c r="E17" s="184" t="s">
        <v>250</v>
      </c>
      <c r="F17" s="184"/>
      <c r="G17" s="184"/>
      <c r="H17" s="184"/>
      <c r="I17" s="185" t="s">
        <v>183</v>
      </c>
      <c r="L17" s="179"/>
    </row>
    <row r="18" spans="1:12" ht="12.75">
      <c r="A18" s="186"/>
      <c r="E18" s="184" t="s">
        <v>251</v>
      </c>
      <c r="F18" s="184"/>
      <c r="G18" s="184"/>
      <c r="H18" s="184"/>
      <c r="I18" s="187" t="s">
        <v>183</v>
      </c>
      <c r="L18" s="179"/>
    </row>
    <row r="19" spans="1:9" ht="12.75">
      <c r="A19" s="186"/>
      <c r="E19" s="184" t="s">
        <v>252</v>
      </c>
      <c r="F19" s="184"/>
      <c r="G19" s="184"/>
      <c r="H19" s="184"/>
      <c r="I19" s="188" t="s">
        <v>183</v>
      </c>
    </row>
    <row r="20" spans="1:12" ht="12.75">
      <c r="A20" s="186"/>
      <c r="E20" s="184" t="s">
        <v>253</v>
      </c>
      <c r="F20" s="184"/>
      <c r="G20" s="184"/>
      <c r="H20" s="184"/>
      <c r="I20" s="188" t="s">
        <v>183</v>
      </c>
      <c r="L20" s="180"/>
    </row>
    <row r="21" spans="1:12" ht="12.75">
      <c r="A21" s="186"/>
      <c r="E21" s="184" t="s">
        <v>254</v>
      </c>
      <c r="F21" s="184"/>
      <c r="G21" s="184"/>
      <c r="H21" s="184"/>
      <c r="I21" s="189" t="s">
        <v>183</v>
      </c>
      <c r="L21" s="180"/>
    </row>
    <row r="22" spans="1:12" ht="12.75">
      <c r="A22" s="186"/>
      <c r="E22" s="184" t="s">
        <v>255</v>
      </c>
      <c r="F22" s="184"/>
      <c r="G22" s="184"/>
      <c r="H22" s="184"/>
      <c r="I22" s="190" t="s">
        <v>183</v>
      </c>
      <c r="L22" s="186"/>
    </row>
    <row r="23" spans="1:12" ht="12.75">
      <c r="A23" s="186"/>
      <c r="E23" s="184" t="s">
        <v>256</v>
      </c>
      <c r="F23" s="184"/>
      <c r="G23" s="184"/>
      <c r="H23" s="184"/>
      <c r="I23" s="185" t="s">
        <v>183</v>
      </c>
      <c r="L23" s="180"/>
    </row>
    <row r="24" spans="1:9" ht="12.75">
      <c r="A24" s="186"/>
      <c r="E24" s="184" t="s">
        <v>257</v>
      </c>
      <c r="F24" s="184"/>
      <c r="G24" s="184"/>
      <c r="H24" s="184"/>
      <c r="I24" s="185" t="s">
        <v>183</v>
      </c>
    </row>
    <row r="25" spans="1:9" ht="12.75">
      <c r="A25" s="186"/>
      <c r="E25" s="184" t="s">
        <v>258</v>
      </c>
      <c r="F25" s="184"/>
      <c r="G25" s="184"/>
      <c r="H25" s="184"/>
      <c r="I25" s="191" t="s">
        <v>183</v>
      </c>
    </row>
    <row r="26" spans="1:9" ht="12.75">
      <c r="A26" s="186"/>
      <c r="E26" s="184" t="s">
        <v>259</v>
      </c>
      <c r="F26" s="184"/>
      <c r="G26" s="184"/>
      <c r="H26" s="184"/>
      <c r="I26" s="189" t="s">
        <v>183</v>
      </c>
    </row>
    <row r="27" spans="1:9" ht="12.75">
      <c r="A27" s="186"/>
      <c r="E27" s="184" t="s">
        <v>260</v>
      </c>
      <c r="F27" s="184"/>
      <c r="G27" s="184"/>
      <c r="H27" s="184"/>
      <c r="I27" s="189" t="s">
        <v>183</v>
      </c>
    </row>
    <row r="28" spans="5:15" ht="12.75">
      <c r="E28" s="184" t="s">
        <v>261</v>
      </c>
      <c r="F28" s="184"/>
      <c r="G28" s="184"/>
      <c r="H28" s="184"/>
      <c r="I28" s="189" t="s">
        <v>183</v>
      </c>
      <c r="O28" s="192"/>
    </row>
    <row r="29" ht="12.75"/>
    <row r="30" ht="12.75">
      <c r="K30" s="193"/>
    </row>
  </sheetData>
  <sheetProtection/>
  <mergeCells count="15">
    <mergeCell ref="E26:H26"/>
    <mergeCell ref="E27:H27"/>
    <mergeCell ref="E28:H28"/>
    <mergeCell ref="E20:H20"/>
    <mergeCell ref="E21:H21"/>
    <mergeCell ref="E22:H22"/>
    <mergeCell ref="E23:H23"/>
    <mergeCell ref="E24:H24"/>
    <mergeCell ref="E25:H25"/>
    <mergeCell ref="E2:H2"/>
    <mergeCell ref="F15:H15"/>
    <mergeCell ref="E16:H16"/>
    <mergeCell ref="E17:H17"/>
    <mergeCell ref="E18:H18"/>
    <mergeCell ref="E19:H19"/>
  </mergeCells>
  <printOptions/>
  <pageMargins left="0.75" right="0.75" top="1" bottom="1" header="0.5" footer="0.5"/>
  <pageSetup orientation="portrait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2:O31"/>
  <sheetViews>
    <sheetView rightToLeft="1" zoomScale="130" zoomScaleNormal="130" zoomScalePageLayoutView="0" workbookViewId="0" topLeftCell="A1">
      <selection activeCell="A4" sqref="A4"/>
    </sheetView>
  </sheetViews>
  <sheetFormatPr defaultColWidth="9.140625" defaultRowHeight="12.75"/>
  <cols>
    <col min="1" max="1" width="8.140625" style="122" bestFit="1" customWidth="1"/>
    <col min="2" max="2" width="8.8515625" style="122" bestFit="1" customWidth="1"/>
    <col min="3" max="3" width="10.7109375" style="122" bestFit="1" customWidth="1"/>
    <col min="4" max="4" width="5.57421875" style="122" bestFit="1" customWidth="1"/>
    <col min="5" max="5" width="7.421875" style="122" bestFit="1" customWidth="1"/>
    <col min="6" max="7" width="9.140625" style="122" customWidth="1"/>
    <col min="8" max="8" width="12.00390625" style="122" bestFit="1" customWidth="1"/>
    <col min="9" max="9" width="14.421875" style="122" bestFit="1" customWidth="1"/>
    <col min="10" max="10" width="9.140625" style="122" customWidth="1"/>
    <col min="11" max="11" width="9.7109375" style="122" bestFit="1" customWidth="1"/>
    <col min="12" max="12" width="17.421875" style="122" bestFit="1" customWidth="1"/>
    <col min="13" max="13" width="10.00390625" style="122" customWidth="1"/>
    <col min="14" max="14" width="9.7109375" style="122" bestFit="1" customWidth="1"/>
    <col min="15" max="15" width="18.00390625" style="122" bestFit="1" customWidth="1"/>
    <col min="16" max="16384" width="9.140625" style="122" customWidth="1"/>
  </cols>
  <sheetData>
    <row r="1" ht="12.75"/>
    <row r="2" spans="5:8" ht="20.25">
      <c r="E2" s="171" t="s">
        <v>227</v>
      </c>
      <c r="F2" s="171"/>
      <c r="G2" s="171"/>
      <c r="H2" s="171"/>
    </row>
    <row r="3" spans="1:10" s="147" customFormat="1" ht="51">
      <c r="A3" s="172" t="s">
        <v>228</v>
      </c>
      <c r="B3" s="172" t="s">
        <v>229</v>
      </c>
      <c r="C3" s="172" t="s">
        <v>230</v>
      </c>
      <c r="D3" s="172" t="s">
        <v>231</v>
      </c>
      <c r="E3" s="172" t="s">
        <v>232</v>
      </c>
      <c r="F3" s="172" t="s">
        <v>233</v>
      </c>
      <c r="G3" s="172" t="s">
        <v>234</v>
      </c>
      <c r="H3" s="172" t="s">
        <v>235</v>
      </c>
      <c r="I3" s="172" t="s">
        <v>236</v>
      </c>
      <c r="J3" s="172" t="s">
        <v>237</v>
      </c>
    </row>
    <row r="4" spans="1:12" ht="12.75">
      <c r="A4" s="173" t="s">
        <v>238</v>
      </c>
      <c r="B4" s="142">
        <v>1234567</v>
      </c>
      <c r="C4" s="174">
        <v>37751</v>
      </c>
      <c r="D4" s="175">
        <v>0.3333333333333333</v>
      </c>
      <c r="E4" s="175">
        <v>0.6458333333333334</v>
      </c>
      <c r="F4" s="194">
        <f>IF(D4&gt;E4,(E4-D4)+1,E4-D4)</f>
        <v>0.31250000000000006</v>
      </c>
      <c r="G4" s="195">
        <f aca="true" t="shared" si="0" ref="G4:G13">HOUR(F4)+MINUTE(F4)/60</f>
        <v>7.5</v>
      </c>
      <c r="H4" s="142">
        <v>8</v>
      </c>
      <c r="I4" s="196">
        <f aca="true" t="shared" si="1" ref="I4:I13">D4+H4/24</f>
        <v>0.6666666666666666</v>
      </c>
      <c r="J4" s="197">
        <f ca="1">(TODAY()-C4)/364</f>
        <v>6.5989010989010985</v>
      </c>
      <c r="K4" s="179"/>
      <c r="L4" s="180"/>
    </row>
    <row r="5" spans="1:12" ht="12.75">
      <c r="A5" s="173" t="s">
        <v>239</v>
      </c>
      <c r="B5" s="142">
        <v>8901234</v>
      </c>
      <c r="C5" s="174">
        <v>35009</v>
      </c>
      <c r="D5" s="175">
        <v>0.4166666666666667</v>
      </c>
      <c r="E5" s="175">
        <v>0.6666666666666666</v>
      </c>
      <c r="F5" s="194">
        <f aca="true" t="shared" si="2" ref="F5:F13">IF(D5&gt;E5,(E5-D5)+1,E5-D5)</f>
        <v>0.24999999999999994</v>
      </c>
      <c r="G5" s="195">
        <f t="shared" si="0"/>
        <v>6</v>
      </c>
      <c r="H5" s="142">
        <v>8.5</v>
      </c>
      <c r="I5" s="196">
        <f t="shared" si="1"/>
        <v>0.7708333333333334</v>
      </c>
      <c r="J5" s="197">
        <f aca="true" ca="1" t="shared" si="3" ref="J5:J13">(TODAY()-C5)/364</f>
        <v>14.131868131868131</v>
      </c>
      <c r="K5" s="179"/>
      <c r="L5" s="180"/>
    </row>
    <row r="6" spans="1:12" ht="12.75">
      <c r="A6" s="173" t="s">
        <v>240</v>
      </c>
      <c r="B6" s="142">
        <v>5678901</v>
      </c>
      <c r="C6" s="174">
        <v>36149</v>
      </c>
      <c r="D6" s="175">
        <v>0.3333333333333333</v>
      </c>
      <c r="E6" s="175">
        <v>0.625</v>
      </c>
      <c r="F6" s="194">
        <f t="shared" si="2"/>
        <v>0.2916666666666667</v>
      </c>
      <c r="G6" s="195">
        <f t="shared" si="0"/>
        <v>7</v>
      </c>
      <c r="H6" s="142">
        <v>7</v>
      </c>
      <c r="I6" s="196">
        <f t="shared" si="1"/>
        <v>0.625</v>
      </c>
      <c r="J6" s="197">
        <f ca="1" t="shared" si="3"/>
        <v>11</v>
      </c>
      <c r="K6" s="179"/>
      <c r="L6" s="180"/>
    </row>
    <row r="7" spans="1:12" ht="12.75">
      <c r="A7" s="173" t="s">
        <v>241</v>
      </c>
      <c r="B7" s="142">
        <v>2345678</v>
      </c>
      <c r="C7" s="174">
        <v>36683</v>
      </c>
      <c r="D7" s="175">
        <v>0.8333333333333334</v>
      </c>
      <c r="E7" s="175">
        <v>0.22916666666666666</v>
      </c>
      <c r="F7" s="194">
        <f t="shared" si="2"/>
        <v>0.39583333333333326</v>
      </c>
      <c r="G7" s="195">
        <f t="shared" si="0"/>
        <v>9.5</v>
      </c>
      <c r="H7" s="142">
        <v>9</v>
      </c>
      <c r="I7" s="196">
        <f t="shared" si="1"/>
        <v>1.2083333333333335</v>
      </c>
      <c r="J7" s="197">
        <f ca="1" t="shared" si="3"/>
        <v>9.532967032967033</v>
      </c>
      <c r="K7" s="179"/>
      <c r="L7" s="180"/>
    </row>
    <row r="8" spans="1:12" ht="12.75">
      <c r="A8" s="173" t="s">
        <v>242</v>
      </c>
      <c r="B8" s="142">
        <v>9012345</v>
      </c>
      <c r="C8" s="174">
        <v>38011</v>
      </c>
      <c r="D8" s="175">
        <v>0.9166666666666666</v>
      </c>
      <c r="E8" s="175">
        <v>0.28125</v>
      </c>
      <c r="F8" s="194">
        <f t="shared" si="2"/>
        <v>0.36458333333333337</v>
      </c>
      <c r="G8" s="195">
        <f t="shared" si="0"/>
        <v>8.75</v>
      </c>
      <c r="H8" s="142">
        <v>9</v>
      </c>
      <c r="I8" s="196">
        <f t="shared" si="1"/>
        <v>1.2916666666666665</v>
      </c>
      <c r="J8" s="197">
        <f ca="1" t="shared" si="3"/>
        <v>5.884615384615385</v>
      </c>
      <c r="K8" s="179"/>
      <c r="L8" s="180"/>
    </row>
    <row r="9" spans="1:12" ht="12.75">
      <c r="A9" s="173" t="s">
        <v>243</v>
      </c>
      <c r="B9" s="142">
        <v>6789012</v>
      </c>
      <c r="C9" s="174">
        <v>37164</v>
      </c>
      <c r="D9" s="175">
        <v>0.9791666666666666</v>
      </c>
      <c r="E9" s="175">
        <v>0.25</v>
      </c>
      <c r="F9" s="194">
        <f t="shared" si="2"/>
        <v>0.27083333333333337</v>
      </c>
      <c r="G9" s="195">
        <f t="shared" si="0"/>
        <v>6.5</v>
      </c>
      <c r="H9" s="142">
        <v>7</v>
      </c>
      <c r="I9" s="196">
        <f t="shared" si="1"/>
        <v>1.2708333333333333</v>
      </c>
      <c r="J9" s="197">
        <f ca="1" t="shared" si="3"/>
        <v>8.211538461538462</v>
      </c>
      <c r="K9" s="179"/>
      <c r="L9" s="180"/>
    </row>
    <row r="10" spans="1:12" ht="12.75">
      <c r="A10" s="173" t="s">
        <v>244</v>
      </c>
      <c r="B10" s="142">
        <v>3456789</v>
      </c>
      <c r="C10" s="174">
        <v>37325</v>
      </c>
      <c r="D10" s="175">
        <v>0.53125</v>
      </c>
      <c r="E10" s="175">
        <v>0.7708333333333334</v>
      </c>
      <c r="F10" s="194">
        <f t="shared" si="2"/>
        <v>0.23958333333333337</v>
      </c>
      <c r="G10" s="195">
        <f t="shared" si="0"/>
        <v>5.75</v>
      </c>
      <c r="H10" s="142">
        <v>6</v>
      </c>
      <c r="I10" s="196">
        <f t="shared" si="1"/>
        <v>0.78125</v>
      </c>
      <c r="J10" s="197">
        <f ca="1" t="shared" si="3"/>
        <v>7.769230769230769</v>
      </c>
      <c r="K10" s="179"/>
      <c r="L10" s="198"/>
    </row>
    <row r="11" spans="1:12" ht="12.75">
      <c r="A11" s="173" t="s">
        <v>245</v>
      </c>
      <c r="B11" s="142">
        <v>9123456</v>
      </c>
      <c r="C11" s="174">
        <v>38635</v>
      </c>
      <c r="D11" s="175">
        <v>0.8958333333333334</v>
      </c>
      <c r="E11" s="175">
        <v>0.15625</v>
      </c>
      <c r="F11" s="194">
        <f t="shared" si="2"/>
        <v>0.26041666666666663</v>
      </c>
      <c r="G11" s="195">
        <f t="shared" si="0"/>
        <v>6.25</v>
      </c>
      <c r="H11" s="142">
        <v>6</v>
      </c>
      <c r="I11" s="196">
        <f t="shared" si="1"/>
        <v>1.1458333333333335</v>
      </c>
      <c r="J11" s="197">
        <f ca="1" t="shared" si="3"/>
        <v>4.170329670329671</v>
      </c>
      <c r="K11" s="179"/>
      <c r="L11" s="180"/>
    </row>
    <row r="12" spans="1:12" ht="12.75">
      <c r="A12" s="173" t="s">
        <v>246</v>
      </c>
      <c r="B12" s="142">
        <v>7890123</v>
      </c>
      <c r="C12" s="174">
        <v>36697</v>
      </c>
      <c r="D12" s="175">
        <v>0.375</v>
      </c>
      <c r="E12" s="175">
        <v>0.625</v>
      </c>
      <c r="F12" s="194">
        <f t="shared" si="2"/>
        <v>0.25</v>
      </c>
      <c r="G12" s="195">
        <f t="shared" si="0"/>
        <v>6</v>
      </c>
      <c r="H12" s="142">
        <v>5</v>
      </c>
      <c r="I12" s="196">
        <f t="shared" si="1"/>
        <v>0.5833333333333334</v>
      </c>
      <c r="J12" s="197">
        <f ca="1" t="shared" si="3"/>
        <v>9.494505494505495</v>
      </c>
      <c r="K12" s="179"/>
      <c r="L12" s="180"/>
    </row>
    <row r="13" spans="1:12" ht="12.75">
      <c r="A13" s="173" t="s">
        <v>247</v>
      </c>
      <c r="B13" s="142">
        <v>4567890</v>
      </c>
      <c r="C13" s="174">
        <v>37087</v>
      </c>
      <c r="D13" s="175">
        <v>0.4583333333333333</v>
      </c>
      <c r="E13" s="175">
        <v>0.7083333333333334</v>
      </c>
      <c r="F13" s="194">
        <f t="shared" si="2"/>
        <v>0.25000000000000006</v>
      </c>
      <c r="G13" s="195">
        <f t="shared" si="0"/>
        <v>6</v>
      </c>
      <c r="H13" s="142">
        <v>5.5</v>
      </c>
      <c r="I13" s="196">
        <f t="shared" si="1"/>
        <v>0.6875</v>
      </c>
      <c r="J13" s="197">
        <f ca="1" t="shared" si="3"/>
        <v>8.423076923076923</v>
      </c>
      <c r="K13" s="179"/>
      <c r="L13" s="180"/>
    </row>
    <row r="14" ht="12.75">
      <c r="L14" s="179"/>
    </row>
    <row r="15" spans="6:12" ht="12.75">
      <c r="F15" s="181" t="s">
        <v>248</v>
      </c>
      <c r="G15" s="182"/>
      <c r="H15" s="183"/>
      <c r="L15" s="179"/>
    </row>
    <row r="16" spans="5:12" ht="12.75">
      <c r="E16" s="184" t="s">
        <v>249</v>
      </c>
      <c r="F16" s="184"/>
      <c r="G16" s="184"/>
      <c r="H16" s="184"/>
      <c r="I16" s="199">
        <f>DATE(2006,10,9)</f>
        <v>38999</v>
      </c>
      <c r="L16" s="179"/>
    </row>
    <row r="17" spans="1:12" ht="12.75">
      <c r="A17" s="186"/>
      <c r="E17" s="184" t="s">
        <v>250</v>
      </c>
      <c r="F17" s="184"/>
      <c r="G17" s="184"/>
      <c r="H17" s="184"/>
      <c r="I17" s="199">
        <f ca="1">TODAY()</f>
        <v>40153</v>
      </c>
      <c r="L17" s="179"/>
    </row>
    <row r="18" spans="1:12" ht="12.75">
      <c r="A18" s="186"/>
      <c r="E18" s="184" t="s">
        <v>251</v>
      </c>
      <c r="F18" s="184"/>
      <c r="G18" s="184"/>
      <c r="H18" s="184"/>
      <c r="I18" s="200">
        <f ca="1">NOW()</f>
        <v>40153.7257181713</v>
      </c>
      <c r="L18" s="179"/>
    </row>
    <row r="19" spans="1:9" ht="12.75">
      <c r="A19" s="186"/>
      <c r="E19" s="184" t="s">
        <v>252</v>
      </c>
      <c r="F19" s="184"/>
      <c r="G19" s="184"/>
      <c r="H19" s="184"/>
      <c r="I19" s="201">
        <f ca="1">YEAR(TODAY())</f>
        <v>2009</v>
      </c>
    </row>
    <row r="20" spans="1:12" ht="12.75">
      <c r="A20" s="186"/>
      <c r="E20" s="184" t="s">
        <v>253</v>
      </c>
      <c r="F20" s="184"/>
      <c r="G20" s="184"/>
      <c r="H20" s="184"/>
      <c r="I20" s="201">
        <f ca="1">MONTH(TODAY())</f>
        <v>12</v>
      </c>
      <c r="L20" s="180"/>
    </row>
    <row r="21" spans="1:12" ht="12.75">
      <c r="A21" s="186"/>
      <c r="E21" s="184" t="s">
        <v>254</v>
      </c>
      <c r="F21" s="184"/>
      <c r="G21" s="184"/>
      <c r="H21" s="184"/>
      <c r="I21" s="195">
        <f ca="1">DAY(TODAY())</f>
        <v>6</v>
      </c>
      <c r="L21" s="180"/>
    </row>
    <row r="22" spans="1:12" ht="12.75">
      <c r="A22" s="186"/>
      <c r="E22" s="184" t="s">
        <v>255</v>
      </c>
      <c r="F22" s="184"/>
      <c r="G22" s="184"/>
      <c r="H22" s="184"/>
      <c r="I22" s="202">
        <f ca="1">WEEKDAY(TODAY(),1)</f>
        <v>1</v>
      </c>
      <c r="L22" s="180"/>
    </row>
    <row r="23" spans="1:12" ht="12.75">
      <c r="A23" s="186"/>
      <c r="E23" s="184" t="s">
        <v>256</v>
      </c>
      <c r="F23" s="184"/>
      <c r="G23" s="184"/>
      <c r="H23" s="184"/>
      <c r="I23" s="199">
        <f ca="1">DATE(YEAR(TODAY()),MONTH(TODAY())+2,DAY(TODAY()))</f>
        <v>40215</v>
      </c>
      <c r="L23" s="180"/>
    </row>
    <row r="24" spans="1:9" ht="12.75">
      <c r="A24" s="186"/>
      <c r="E24" s="184" t="s">
        <v>257</v>
      </c>
      <c r="F24" s="184"/>
      <c r="G24" s="184"/>
      <c r="H24" s="184"/>
      <c r="I24" s="199">
        <f ca="1">DATE(YEAR(TODAY()),MONTH(TODAY())+3,DAY(TODAY())+10)</f>
        <v>40253</v>
      </c>
    </row>
    <row r="25" spans="1:9" ht="12.75">
      <c r="A25" s="186"/>
      <c r="E25" s="184" t="s">
        <v>258</v>
      </c>
      <c r="F25" s="184"/>
      <c r="G25" s="184"/>
      <c r="H25" s="184"/>
      <c r="I25" s="203">
        <f>TIME(13,15,0)</f>
        <v>0.5520833333333334</v>
      </c>
    </row>
    <row r="26" spans="1:9" ht="12.75">
      <c r="A26" s="186"/>
      <c r="E26" s="184" t="s">
        <v>259</v>
      </c>
      <c r="F26" s="184"/>
      <c r="G26" s="184"/>
      <c r="H26" s="184"/>
      <c r="I26" s="195">
        <f ca="1">HOUR(NOW())</f>
        <v>17</v>
      </c>
    </row>
    <row r="27" spans="1:9" ht="12.75">
      <c r="A27" s="186"/>
      <c r="E27" s="184" t="s">
        <v>260</v>
      </c>
      <c r="F27" s="184"/>
      <c r="G27" s="184"/>
      <c r="H27" s="184"/>
      <c r="I27" s="195">
        <f ca="1">MINUTE(NOW())</f>
        <v>25</v>
      </c>
    </row>
    <row r="28" spans="5:15" ht="12.75">
      <c r="E28" s="184" t="s">
        <v>261</v>
      </c>
      <c r="F28" s="184"/>
      <c r="G28" s="184"/>
      <c r="H28" s="184"/>
      <c r="I28" s="195">
        <f ca="1">WEEKNUM(TODAY())</f>
        <v>50</v>
      </c>
      <c r="O28" s="192"/>
    </row>
    <row r="29" ht="12.75"/>
    <row r="30" ht="12.75">
      <c r="K30" s="193"/>
    </row>
    <row r="31" ht="12.75">
      <c r="O31" s="204"/>
    </row>
  </sheetData>
  <sheetProtection/>
  <mergeCells count="15">
    <mergeCell ref="E26:H26"/>
    <mergeCell ref="E27:H27"/>
    <mergeCell ref="E28:H28"/>
    <mergeCell ref="E20:H20"/>
    <mergeCell ref="E21:H21"/>
    <mergeCell ref="E22:H22"/>
    <mergeCell ref="E23:H23"/>
    <mergeCell ref="E24:H24"/>
    <mergeCell ref="E25:H25"/>
    <mergeCell ref="E2:H2"/>
    <mergeCell ref="F15:H15"/>
    <mergeCell ref="E16:H16"/>
    <mergeCell ref="E17:H17"/>
    <mergeCell ref="E18:H18"/>
    <mergeCell ref="E19:H19"/>
  </mergeCells>
  <printOptions/>
  <pageMargins left="0.75" right="0.75" top="1" bottom="1" header="0.5" footer="0.5"/>
  <pageSetup orientation="portrait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1"/>
  </sheetPr>
  <dimension ref="A2:O30"/>
  <sheetViews>
    <sheetView rightToLeft="1" zoomScale="130" zoomScaleNormal="130" zoomScalePageLayoutView="0" workbookViewId="0" topLeftCell="A1">
      <selection activeCell="A4" sqref="A4"/>
    </sheetView>
  </sheetViews>
  <sheetFormatPr defaultColWidth="9.140625" defaultRowHeight="12.75"/>
  <cols>
    <col min="1" max="1" width="8.140625" style="122" bestFit="1" customWidth="1"/>
    <col min="2" max="2" width="8.8515625" style="122" bestFit="1" customWidth="1"/>
    <col min="3" max="3" width="10.7109375" style="122" bestFit="1" customWidth="1"/>
    <col min="4" max="4" width="5.57421875" style="122" bestFit="1" customWidth="1"/>
    <col min="5" max="5" width="7.421875" style="122" bestFit="1" customWidth="1"/>
    <col min="6" max="7" width="9.140625" style="122" customWidth="1"/>
    <col min="8" max="8" width="12.00390625" style="122" bestFit="1" customWidth="1"/>
    <col min="9" max="9" width="14.421875" style="122" bestFit="1" customWidth="1"/>
    <col min="10" max="10" width="9.140625" style="122" customWidth="1"/>
    <col min="11" max="11" width="9.7109375" style="122" bestFit="1" customWidth="1"/>
    <col min="12" max="12" width="12.28125" style="122" bestFit="1" customWidth="1"/>
    <col min="13" max="13" width="9.140625" style="122" customWidth="1"/>
    <col min="14" max="14" width="9.7109375" style="122" bestFit="1" customWidth="1"/>
    <col min="15" max="15" width="18.00390625" style="122" bestFit="1" customWidth="1"/>
    <col min="16" max="16384" width="9.140625" style="122" customWidth="1"/>
  </cols>
  <sheetData>
    <row r="1" ht="12.75"/>
    <row r="2" spans="5:8" ht="20.25">
      <c r="E2" s="171" t="s">
        <v>227</v>
      </c>
      <c r="F2" s="171"/>
      <c r="G2" s="171"/>
      <c r="H2" s="171"/>
    </row>
    <row r="3" spans="1:13" s="147" customFormat="1" ht="63.75">
      <c r="A3" s="172" t="s">
        <v>228</v>
      </c>
      <c r="B3" s="172" t="s">
        <v>229</v>
      </c>
      <c r="C3" s="172" t="s">
        <v>230</v>
      </c>
      <c r="D3" s="172" t="s">
        <v>231</v>
      </c>
      <c r="E3" s="172" t="s">
        <v>232</v>
      </c>
      <c r="F3" s="172" t="s">
        <v>233</v>
      </c>
      <c r="G3" s="172" t="s">
        <v>234</v>
      </c>
      <c r="H3" s="172" t="s">
        <v>235</v>
      </c>
      <c r="I3" s="172" t="s">
        <v>236</v>
      </c>
      <c r="J3" s="172" t="s">
        <v>237</v>
      </c>
      <c r="K3" s="172" t="s">
        <v>262</v>
      </c>
      <c r="M3" s="172" t="s">
        <v>263</v>
      </c>
    </row>
    <row r="4" spans="1:15" ht="12.75">
      <c r="A4" s="173" t="s">
        <v>238</v>
      </c>
      <c r="B4" s="142">
        <v>1234567</v>
      </c>
      <c r="C4" s="174">
        <v>37751</v>
      </c>
      <c r="D4" s="175">
        <v>0.3333333333333333</v>
      </c>
      <c r="E4" s="175">
        <v>0.6458333333333334</v>
      </c>
      <c r="F4" s="205" t="s">
        <v>183</v>
      </c>
      <c r="G4" s="206" t="s">
        <v>183</v>
      </c>
      <c r="H4" s="142">
        <v>8</v>
      </c>
      <c r="I4" s="196">
        <f aca="true" t="shared" si="0" ref="I4:I13">D4+H4/24</f>
        <v>0.6666666666666666</v>
      </c>
      <c r="J4" s="197">
        <f ca="1">(TODAY()-C4)/364</f>
        <v>6.5989010989010985</v>
      </c>
      <c r="K4" s="207" t="s">
        <v>183</v>
      </c>
      <c r="M4" s="207" t="s">
        <v>183</v>
      </c>
      <c r="N4" s="179"/>
      <c r="O4" s="180"/>
    </row>
    <row r="5" spans="1:15" ht="12.75">
      <c r="A5" s="173" t="s">
        <v>239</v>
      </c>
      <c r="B5" s="142">
        <v>8901234</v>
      </c>
      <c r="C5" s="174">
        <v>35009</v>
      </c>
      <c r="D5" s="175">
        <v>0.4166666666666667</v>
      </c>
      <c r="E5" s="175">
        <v>0.6666666666666666</v>
      </c>
      <c r="F5" s="205" t="s">
        <v>183</v>
      </c>
      <c r="G5" s="206" t="s">
        <v>183</v>
      </c>
      <c r="H5" s="142">
        <v>8.5</v>
      </c>
      <c r="I5" s="196">
        <f t="shared" si="0"/>
        <v>0.7708333333333334</v>
      </c>
      <c r="J5" s="197">
        <f aca="true" ca="1" t="shared" si="1" ref="J5:J13">(TODAY()-C5)/364</f>
        <v>14.131868131868131</v>
      </c>
      <c r="K5" s="207" t="s">
        <v>183</v>
      </c>
      <c r="M5" s="207" t="s">
        <v>183</v>
      </c>
      <c r="N5" s="179"/>
      <c r="O5" s="180"/>
    </row>
    <row r="6" spans="1:15" ht="12.75">
      <c r="A6" s="173" t="s">
        <v>240</v>
      </c>
      <c r="B6" s="142">
        <v>5678901</v>
      </c>
      <c r="C6" s="174">
        <v>36149</v>
      </c>
      <c r="D6" s="175">
        <v>0.3333333333333333</v>
      </c>
      <c r="E6" s="175">
        <v>0.625</v>
      </c>
      <c r="F6" s="205" t="s">
        <v>183</v>
      </c>
      <c r="G6" s="206" t="s">
        <v>183</v>
      </c>
      <c r="H6" s="142">
        <v>7</v>
      </c>
      <c r="I6" s="196">
        <f t="shared" si="0"/>
        <v>0.625</v>
      </c>
      <c r="J6" s="197">
        <f ca="1" t="shared" si="1"/>
        <v>11</v>
      </c>
      <c r="K6" s="207" t="s">
        <v>183</v>
      </c>
      <c r="M6" s="207" t="s">
        <v>183</v>
      </c>
      <c r="N6" s="179"/>
      <c r="O6" s="180"/>
    </row>
    <row r="7" spans="1:15" ht="12.75">
      <c r="A7" s="173" t="s">
        <v>241</v>
      </c>
      <c r="B7" s="142">
        <v>2345678</v>
      </c>
      <c r="C7" s="174">
        <v>36683</v>
      </c>
      <c r="D7" s="175">
        <v>0.8333333333333334</v>
      </c>
      <c r="E7" s="175">
        <v>0.22916666666666666</v>
      </c>
      <c r="F7" s="205" t="s">
        <v>183</v>
      </c>
      <c r="G7" s="206" t="s">
        <v>183</v>
      </c>
      <c r="H7" s="142">
        <v>9</v>
      </c>
      <c r="I7" s="196">
        <f t="shared" si="0"/>
        <v>1.2083333333333335</v>
      </c>
      <c r="J7" s="197">
        <f ca="1" t="shared" si="1"/>
        <v>9.532967032967033</v>
      </c>
      <c r="K7" s="207" t="s">
        <v>183</v>
      </c>
      <c r="M7" s="207" t="s">
        <v>183</v>
      </c>
      <c r="N7" s="179"/>
      <c r="O7" s="180"/>
    </row>
    <row r="8" spans="1:15" ht="12.75">
      <c r="A8" s="173" t="s">
        <v>242</v>
      </c>
      <c r="B8" s="142">
        <v>9012345</v>
      </c>
      <c r="C8" s="174">
        <v>38011</v>
      </c>
      <c r="D8" s="175">
        <v>0.9166666666666666</v>
      </c>
      <c r="E8" s="175">
        <v>0.28125</v>
      </c>
      <c r="F8" s="205" t="s">
        <v>183</v>
      </c>
      <c r="G8" s="206" t="s">
        <v>183</v>
      </c>
      <c r="H8" s="142">
        <v>9</v>
      </c>
      <c r="I8" s="196">
        <f t="shared" si="0"/>
        <v>1.2916666666666665</v>
      </c>
      <c r="J8" s="197">
        <f ca="1" t="shared" si="1"/>
        <v>5.884615384615385</v>
      </c>
      <c r="K8" s="207" t="s">
        <v>183</v>
      </c>
      <c r="M8" s="207" t="s">
        <v>183</v>
      </c>
      <c r="N8" s="179"/>
      <c r="O8" s="180"/>
    </row>
    <row r="9" spans="1:15" ht="12.75">
      <c r="A9" s="173" t="s">
        <v>243</v>
      </c>
      <c r="B9" s="142">
        <v>6789012</v>
      </c>
      <c r="C9" s="174">
        <v>37164</v>
      </c>
      <c r="D9" s="175">
        <v>0.9791666666666666</v>
      </c>
      <c r="E9" s="175">
        <v>0.25</v>
      </c>
      <c r="F9" s="205" t="s">
        <v>183</v>
      </c>
      <c r="G9" s="206" t="s">
        <v>183</v>
      </c>
      <c r="H9" s="142">
        <v>7</v>
      </c>
      <c r="I9" s="196">
        <f t="shared" si="0"/>
        <v>1.2708333333333333</v>
      </c>
      <c r="J9" s="197">
        <f ca="1" t="shared" si="1"/>
        <v>8.211538461538462</v>
      </c>
      <c r="K9" s="207" t="s">
        <v>183</v>
      </c>
      <c r="M9" s="207" t="s">
        <v>183</v>
      </c>
      <c r="N9" s="179"/>
      <c r="O9" s="180"/>
    </row>
    <row r="10" spans="1:15" ht="12.75">
      <c r="A10" s="173" t="s">
        <v>244</v>
      </c>
      <c r="B10" s="142">
        <v>3456789</v>
      </c>
      <c r="C10" s="174">
        <v>37325</v>
      </c>
      <c r="D10" s="175">
        <v>0.53125</v>
      </c>
      <c r="E10" s="175">
        <v>0.7708333333333334</v>
      </c>
      <c r="F10" s="205" t="s">
        <v>183</v>
      </c>
      <c r="G10" s="206" t="s">
        <v>183</v>
      </c>
      <c r="H10" s="142">
        <v>6</v>
      </c>
      <c r="I10" s="196">
        <f t="shared" si="0"/>
        <v>0.78125</v>
      </c>
      <c r="J10" s="197">
        <f ca="1" t="shared" si="1"/>
        <v>7.769230769230769</v>
      </c>
      <c r="K10" s="207" t="s">
        <v>183</v>
      </c>
      <c r="M10" s="207" t="s">
        <v>183</v>
      </c>
      <c r="N10" s="179"/>
      <c r="O10" s="180"/>
    </row>
    <row r="11" spans="1:15" ht="12.75">
      <c r="A11" s="173" t="s">
        <v>245</v>
      </c>
      <c r="B11" s="142">
        <v>9123456</v>
      </c>
      <c r="C11" s="174">
        <v>38635</v>
      </c>
      <c r="D11" s="175">
        <v>0.8958333333333334</v>
      </c>
      <c r="E11" s="175">
        <v>0.15625</v>
      </c>
      <c r="F11" s="205" t="s">
        <v>183</v>
      </c>
      <c r="G11" s="206" t="s">
        <v>183</v>
      </c>
      <c r="H11" s="142">
        <v>6</v>
      </c>
      <c r="I11" s="196">
        <f t="shared" si="0"/>
        <v>1.1458333333333335</v>
      </c>
      <c r="J11" s="197">
        <f ca="1" t="shared" si="1"/>
        <v>4.170329670329671</v>
      </c>
      <c r="K11" s="207" t="s">
        <v>183</v>
      </c>
      <c r="M11" s="207" t="s">
        <v>183</v>
      </c>
      <c r="N11" s="179"/>
      <c r="O11" s="180"/>
    </row>
    <row r="12" spans="1:15" ht="12.75">
      <c r="A12" s="173" t="s">
        <v>246</v>
      </c>
      <c r="B12" s="142">
        <v>7890123</v>
      </c>
      <c r="C12" s="174">
        <v>36697</v>
      </c>
      <c r="D12" s="175">
        <v>0.375</v>
      </c>
      <c r="E12" s="175">
        <v>0.625</v>
      </c>
      <c r="F12" s="205" t="s">
        <v>183</v>
      </c>
      <c r="G12" s="206" t="s">
        <v>183</v>
      </c>
      <c r="H12" s="142">
        <v>5</v>
      </c>
      <c r="I12" s="196">
        <f t="shared" si="0"/>
        <v>0.5833333333333334</v>
      </c>
      <c r="J12" s="197">
        <f ca="1" t="shared" si="1"/>
        <v>9.494505494505495</v>
      </c>
      <c r="K12" s="207" t="s">
        <v>183</v>
      </c>
      <c r="M12" s="207" t="s">
        <v>183</v>
      </c>
      <c r="N12" s="179"/>
      <c r="O12" s="180"/>
    </row>
    <row r="13" spans="1:15" ht="12.75">
      <c r="A13" s="173" t="s">
        <v>247</v>
      </c>
      <c r="B13" s="142">
        <v>4567890</v>
      </c>
      <c r="C13" s="174">
        <v>37087</v>
      </c>
      <c r="D13" s="175">
        <v>0.4583333333333333</v>
      </c>
      <c r="E13" s="175">
        <v>0.7083333333333334</v>
      </c>
      <c r="F13" s="205" t="s">
        <v>183</v>
      </c>
      <c r="G13" s="206" t="s">
        <v>183</v>
      </c>
      <c r="H13" s="142">
        <v>5.5</v>
      </c>
      <c r="I13" s="196">
        <f t="shared" si="0"/>
        <v>0.6875</v>
      </c>
      <c r="J13" s="197">
        <f ca="1" t="shared" si="1"/>
        <v>8.423076923076923</v>
      </c>
      <c r="K13" s="207" t="s">
        <v>183</v>
      </c>
      <c r="M13" s="207" t="s">
        <v>183</v>
      </c>
      <c r="N13" s="179"/>
      <c r="O13" s="180"/>
    </row>
    <row r="14" ht="12.75">
      <c r="L14" s="179"/>
    </row>
    <row r="15" spans="6:12" ht="12.75">
      <c r="F15" s="181" t="s">
        <v>248</v>
      </c>
      <c r="G15" s="182"/>
      <c r="H15" s="183"/>
      <c r="L15" s="179"/>
    </row>
    <row r="16" spans="5:12" ht="12.75">
      <c r="E16" s="184" t="s">
        <v>249</v>
      </c>
      <c r="F16" s="184"/>
      <c r="G16" s="184"/>
      <c r="H16" s="184"/>
      <c r="I16" s="199">
        <f>DATE(2006,10,9)</f>
        <v>38999</v>
      </c>
      <c r="L16" s="179"/>
    </row>
    <row r="17" spans="1:12" ht="12.75">
      <c r="A17" s="186"/>
      <c r="E17" s="184" t="s">
        <v>250</v>
      </c>
      <c r="F17" s="184"/>
      <c r="G17" s="184"/>
      <c r="H17" s="184"/>
      <c r="I17" s="199">
        <f ca="1">TODAY()</f>
        <v>40153</v>
      </c>
      <c r="L17" s="179"/>
    </row>
    <row r="18" spans="1:12" ht="12.75">
      <c r="A18" s="186"/>
      <c r="E18" s="184" t="s">
        <v>251</v>
      </c>
      <c r="F18" s="184"/>
      <c r="G18" s="184"/>
      <c r="H18" s="184"/>
      <c r="I18" s="200">
        <f ca="1">NOW()</f>
        <v>40153.7257181713</v>
      </c>
      <c r="L18" s="179"/>
    </row>
    <row r="19" spans="1:9" ht="12.75">
      <c r="A19" s="186"/>
      <c r="E19" s="184" t="s">
        <v>252</v>
      </c>
      <c r="F19" s="184"/>
      <c r="G19" s="184"/>
      <c r="H19" s="184"/>
      <c r="I19" s="201">
        <f ca="1">YEAR(TODAY())</f>
        <v>2009</v>
      </c>
    </row>
    <row r="20" spans="1:12" ht="12.75">
      <c r="A20" s="186"/>
      <c r="E20" s="184" t="s">
        <v>253</v>
      </c>
      <c r="F20" s="184"/>
      <c r="G20" s="184"/>
      <c r="H20" s="184"/>
      <c r="I20" s="201">
        <f ca="1">MONTH(TODAY())</f>
        <v>12</v>
      </c>
      <c r="L20" s="180"/>
    </row>
    <row r="21" spans="1:12" ht="12.75">
      <c r="A21" s="186"/>
      <c r="E21" s="184" t="s">
        <v>254</v>
      </c>
      <c r="F21" s="184"/>
      <c r="G21" s="184"/>
      <c r="H21" s="184"/>
      <c r="I21" s="195">
        <f ca="1">DAY(TODAY())</f>
        <v>6</v>
      </c>
      <c r="L21" s="180"/>
    </row>
    <row r="22" spans="1:12" ht="12.75">
      <c r="A22" s="186"/>
      <c r="E22" s="184" t="s">
        <v>255</v>
      </c>
      <c r="F22" s="184"/>
      <c r="G22" s="184"/>
      <c r="H22" s="184"/>
      <c r="I22" s="202">
        <f ca="1">WEEKDAY(TODAY(),1)</f>
        <v>1</v>
      </c>
      <c r="L22" s="186"/>
    </row>
    <row r="23" spans="1:12" ht="12.75">
      <c r="A23" s="186"/>
      <c r="E23" s="184" t="s">
        <v>256</v>
      </c>
      <c r="F23" s="184"/>
      <c r="G23" s="184"/>
      <c r="H23" s="184"/>
      <c r="I23" s="199">
        <f ca="1">DATE(YEAR(TODAY()),MONTH(TODAY())+2,DAY(TODAY()))</f>
        <v>40215</v>
      </c>
      <c r="L23" s="180"/>
    </row>
    <row r="24" spans="1:9" ht="12.75">
      <c r="A24" s="186"/>
      <c r="E24" s="184" t="s">
        <v>257</v>
      </c>
      <c r="F24" s="184"/>
      <c r="G24" s="184"/>
      <c r="H24" s="184"/>
      <c r="I24" s="199">
        <f ca="1">DATE(YEAR(TODAY()),MONTH(TODAY())+3,DAY(TODAY())+10)</f>
        <v>40253</v>
      </c>
    </row>
    <row r="25" spans="1:9" ht="12.75">
      <c r="A25" s="186"/>
      <c r="E25" s="184" t="s">
        <v>258</v>
      </c>
      <c r="F25" s="184"/>
      <c r="G25" s="184"/>
      <c r="H25" s="184"/>
      <c r="I25" s="203">
        <f>TIME(13,15,0)</f>
        <v>0.5520833333333334</v>
      </c>
    </row>
    <row r="26" spans="1:9" ht="12.75">
      <c r="A26" s="186"/>
      <c r="E26" s="184" t="s">
        <v>259</v>
      </c>
      <c r="F26" s="184"/>
      <c r="G26" s="184"/>
      <c r="H26" s="184"/>
      <c r="I26" s="195">
        <f ca="1">HOUR(NOW())</f>
        <v>17</v>
      </c>
    </row>
    <row r="27" spans="1:9" ht="12.75">
      <c r="A27" s="186"/>
      <c r="E27" s="184" t="s">
        <v>260</v>
      </c>
      <c r="F27" s="184"/>
      <c r="G27" s="184"/>
      <c r="H27" s="184"/>
      <c r="I27" s="195">
        <f ca="1">MINUTE(NOW())</f>
        <v>25</v>
      </c>
    </row>
    <row r="28" spans="5:15" ht="12.75">
      <c r="E28" s="184" t="s">
        <v>261</v>
      </c>
      <c r="F28" s="184"/>
      <c r="G28" s="184"/>
      <c r="H28" s="184"/>
      <c r="I28" s="195">
        <f ca="1">WEEKNUM(TODAY())</f>
        <v>50</v>
      </c>
      <c r="O28" s="192"/>
    </row>
    <row r="30" ht="12.75">
      <c r="K30" s="193"/>
    </row>
  </sheetData>
  <sheetProtection/>
  <mergeCells count="15">
    <mergeCell ref="E26:H26"/>
    <mergeCell ref="E27:H27"/>
    <mergeCell ref="E28:H28"/>
    <mergeCell ref="E20:H20"/>
    <mergeCell ref="E21:H21"/>
    <mergeCell ref="E22:H22"/>
    <mergeCell ref="E23:H23"/>
    <mergeCell ref="E24:H24"/>
    <mergeCell ref="E25:H25"/>
    <mergeCell ref="E2:H2"/>
    <mergeCell ref="F15:H15"/>
    <mergeCell ref="E16:H16"/>
    <mergeCell ref="E17:H17"/>
    <mergeCell ref="E18:H18"/>
    <mergeCell ref="E19:H19"/>
  </mergeCells>
  <printOptions/>
  <pageMargins left="0.75" right="0.75" top="1" bottom="1" header="0.5" footer="0.5"/>
  <pageSetup orientation="portrait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3"/>
  </sheetPr>
  <dimension ref="A2:O31"/>
  <sheetViews>
    <sheetView rightToLeft="1" zoomScale="130" zoomScaleNormal="130" zoomScalePageLayoutView="0" workbookViewId="0" topLeftCell="A1">
      <selection activeCell="A4" sqref="A4"/>
    </sheetView>
  </sheetViews>
  <sheetFormatPr defaultColWidth="9.140625" defaultRowHeight="12.75"/>
  <cols>
    <col min="1" max="1" width="8.140625" style="122" bestFit="1" customWidth="1"/>
    <col min="2" max="2" width="8.8515625" style="122" bestFit="1" customWidth="1"/>
    <col min="3" max="3" width="10.7109375" style="122" bestFit="1" customWidth="1"/>
    <col min="4" max="4" width="5.57421875" style="122" bestFit="1" customWidth="1"/>
    <col min="5" max="5" width="7.421875" style="122" bestFit="1" customWidth="1"/>
    <col min="6" max="7" width="9.140625" style="122" customWidth="1"/>
    <col min="8" max="8" width="12.00390625" style="122" bestFit="1" customWidth="1"/>
    <col min="9" max="9" width="14.421875" style="122" bestFit="1" customWidth="1"/>
    <col min="10" max="10" width="9.140625" style="122" customWidth="1"/>
    <col min="11" max="11" width="9.7109375" style="122" bestFit="1" customWidth="1"/>
    <col min="12" max="12" width="12.28125" style="122" bestFit="1" customWidth="1"/>
    <col min="13" max="13" width="10.00390625" style="122" customWidth="1"/>
    <col min="14" max="14" width="9.7109375" style="122" bestFit="1" customWidth="1"/>
    <col min="15" max="15" width="18.00390625" style="122" bestFit="1" customWidth="1"/>
    <col min="16" max="16384" width="9.140625" style="122" customWidth="1"/>
  </cols>
  <sheetData>
    <row r="1" ht="12.75"/>
    <row r="2" spans="5:13" ht="20.25">
      <c r="E2" s="171" t="s">
        <v>227</v>
      </c>
      <c r="F2" s="171"/>
      <c r="G2" s="171"/>
      <c r="H2" s="171"/>
      <c r="K2" s="208" t="s">
        <v>264</v>
      </c>
      <c r="M2" s="208" t="s">
        <v>265</v>
      </c>
    </row>
    <row r="3" spans="1:13" s="147" customFormat="1" ht="51">
      <c r="A3" s="172" t="s">
        <v>228</v>
      </c>
      <c r="B3" s="172" t="s">
        <v>229</v>
      </c>
      <c r="C3" s="172" t="s">
        <v>230</v>
      </c>
      <c r="D3" s="172" t="s">
        <v>231</v>
      </c>
      <c r="E3" s="172" t="s">
        <v>232</v>
      </c>
      <c r="F3" s="172" t="s">
        <v>233</v>
      </c>
      <c r="G3" s="172" t="s">
        <v>234</v>
      </c>
      <c r="H3" s="172" t="s">
        <v>235</v>
      </c>
      <c r="I3" s="172" t="s">
        <v>236</v>
      </c>
      <c r="J3" s="172" t="s">
        <v>237</v>
      </c>
      <c r="K3" s="172" t="s">
        <v>266</v>
      </c>
      <c r="M3" s="172" t="s">
        <v>266</v>
      </c>
    </row>
    <row r="4" spans="1:15" ht="12.75">
      <c r="A4" s="173" t="s">
        <v>238</v>
      </c>
      <c r="B4" s="142">
        <v>1234567</v>
      </c>
      <c r="C4" s="174">
        <v>37751</v>
      </c>
      <c r="D4" s="175">
        <v>0.3333333333333333</v>
      </c>
      <c r="E4" s="175">
        <v>0.6458333333333334</v>
      </c>
      <c r="F4" s="194">
        <f aca="true" t="shared" si="0" ref="F4:F13">E4-D4+(D4&gt;E4)</f>
        <v>0.31250000000000006</v>
      </c>
      <c r="G4" s="195">
        <f aca="true" t="shared" si="1" ref="G4:G13">HOUR(F4)+MINUTE(F4)/60</f>
        <v>7.5</v>
      </c>
      <c r="H4" s="142">
        <v>8</v>
      </c>
      <c r="I4" s="196">
        <f aca="true" t="shared" si="2" ref="I4:I13">D4+H4/24</f>
        <v>0.6666666666666666</v>
      </c>
      <c r="J4" s="197">
        <f ca="1">(TODAY()-C4)/364</f>
        <v>6.5989010989010985</v>
      </c>
      <c r="K4" s="209">
        <f aca="true" ca="1" t="shared" si="3" ref="K4:K13">IF(MONTH(C4)&gt;MONTH(TODAY()),DATE(YEAR(TODAY()),MONTH(C4),DAY(C4)),IF(AND(MONTH(C4)=MONTH(TODAY()),DAY(C4)&gt;DAY(TODAY())),(DATE(YEAR(TODAY()),MONTH(C4),DAY(C4))),DATE(YEAR(TODAY())+1,MONTH(C4),DAY(C4))))</f>
        <v>40308</v>
      </c>
      <c r="M4" s="209">
        <f aca="true" ca="1" t="shared" si="4" ref="M4:M13">IF(WEEKNUM(TODAY())&gt;WEEKNUM(C4),DATE(YEAR(TODAY())+1,MONTH(C4),DAY(C4)),DATE(YEAR(TODAY()),MONTH(C4),DAY(C4)))</f>
        <v>40308</v>
      </c>
      <c r="N4" s="179"/>
      <c r="O4" s="180"/>
    </row>
    <row r="5" spans="1:15" ht="12.75">
      <c r="A5" s="173" t="s">
        <v>239</v>
      </c>
      <c r="B5" s="142">
        <v>8901234</v>
      </c>
      <c r="C5" s="174">
        <v>35009</v>
      </c>
      <c r="D5" s="175">
        <v>0.4166666666666667</v>
      </c>
      <c r="E5" s="175">
        <v>0.6666666666666666</v>
      </c>
      <c r="F5" s="194">
        <f t="shared" si="0"/>
        <v>0.24999999999999994</v>
      </c>
      <c r="G5" s="195">
        <f t="shared" si="1"/>
        <v>6</v>
      </c>
      <c r="H5" s="142">
        <v>8.5</v>
      </c>
      <c r="I5" s="196">
        <f t="shared" si="2"/>
        <v>0.7708333333333334</v>
      </c>
      <c r="J5" s="197">
        <f aca="true" ca="1" t="shared" si="5" ref="J5:J13">(TODAY()-C5)/364</f>
        <v>14.131868131868131</v>
      </c>
      <c r="K5" s="209">
        <f ca="1" t="shared" si="3"/>
        <v>40488</v>
      </c>
      <c r="M5" s="209">
        <f ca="1" t="shared" si="4"/>
        <v>40488</v>
      </c>
      <c r="N5" s="179"/>
      <c r="O5" s="180"/>
    </row>
    <row r="6" spans="1:15" ht="12.75">
      <c r="A6" s="173" t="s">
        <v>240</v>
      </c>
      <c r="B6" s="142">
        <v>5678901</v>
      </c>
      <c r="C6" s="174">
        <v>36149</v>
      </c>
      <c r="D6" s="175">
        <v>0.3333333333333333</v>
      </c>
      <c r="E6" s="175">
        <v>0.625</v>
      </c>
      <c r="F6" s="194">
        <f t="shared" si="0"/>
        <v>0.2916666666666667</v>
      </c>
      <c r="G6" s="195">
        <f t="shared" si="1"/>
        <v>7</v>
      </c>
      <c r="H6" s="142">
        <v>7</v>
      </c>
      <c r="I6" s="196">
        <f t="shared" si="2"/>
        <v>0.625</v>
      </c>
      <c r="J6" s="197">
        <f ca="1" t="shared" si="5"/>
        <v>11</v>
      </c>
      <c r="K6" s="209">
        <f ca="1" t="shared" si="3"/>
        <v>40167</v>
      </c>
      <c r="M6" s="209">
        <f ca="1" t="shared" si="4"/>
        <v>40167</v>
      </c>
      <c r="N6" s="179"/>
      <c r="O6" s="180"/>
    </row>
    <row r="7" spans="1:15" ht="12.75">
      <c r="A7" s="173" t="s">
        <v>241</v>
      </c>
      <c r="B7" s="142">
        <v>2345678</v>
      </c>
      <c r="C7" s="174">
        <v>36683</v>
      </c>
      <c r="D7" s="175">
        <v>0.8333333333333334</v>
      </c>
      <c r="E7" s="175">
        <v>0.22916666666666666</v>
      </c>
      <c r="F7" s="194">
        <f t="shared" si="0"/>
        <v>0.39583333333333326</v>
      </c>
      <c r="G7" s="195">
        <f t="shared" si="1"/>
        <v>9.5</v>
      </c>
      <c r="H7" s="142">
        <v>9</v>
      </c>
      <c r="I7" s="196">
        <f t="shared" si="2"/>
        <v>1.2083333333333335</v>
      </c>
      <c r="J7" s="197">
        <f ca="1" t="shared" si="5"/>
        <v>9.532967032967033</v>
      </c>
      <c r="K7" s="209">
        <f ca="1" t="shared" si="3"/>
        <v>40335</v>
      </c>
      <c r="M7" s="209">
        <f ca="1" t="shared" si="4"/>
        <v>40335</v>
      </c>
      <c r="N7" s="179"/>
      <c r="O7" s="180"/>
    </row>
    <row r="8" spans="1:15" ht="12.75">
      <c r="A8" s="173" t="s">
        <v>242</v>
      </c>
      <c r="B8" s="142">
        <v>9012345</v>
      </c>
      <c r="C8" s="174">
        <v>38011</v>
      </c>
      <c r="D8" s="175">
        <v>0.9166666666666666</v>
      </c>
      <c r="E8" s="175">
        <v>0.28125</v>
      </c>
      <c r="F8" s="194">
        <f t="shared" si="0"/>
        <v>0.36458333333333337</v>
      </c>
      <c r="G8" s="195">
        <f t="shared" si="1"/>
        <v>8.75</v>
      </c>
      <c r="H8" s="142">
        <v>9</v>
      </c>
      <c r="I8" s="196">
        <f t="shared" si="2"/>
        <v>1.2916666666666665</v>
      </c>
      <c r="J8" s="197">
        <f ca="1" t="shared" si="5"/>
        <v>5.884615384615385</v>
      </c>
      <c r="K8" s="209">
        <f ca="1" t="shared" si="3"/>
        <v>40203</v>
      </c>
      <c r="M8" s="209">
        <f ca="1" t="shared" si="4"/>
        <v>40203</v>
      </c>
      <c r="N8" s="179"/>
      <c r="O8" s="180"/>
    </row>
    <row r="9" spans="1:15" ht="12.75">
      <c r="A9" s="173" t="s">
        <v>243</v>
      </c>
      <c r="B9" s="142">
        <v>6789012</v>
      </c>
      <c r="C9" s="174">
        <v>37164</v>
      </c>
      <c r="D9" s="175">
        <v>0.9791666666666666</v>
      </c>
      <c r="E9" s="175">
        <v>0.25</v>
      </c>
      <c r="F9" s="194">
        <f t="shared" si="0"/>
        <v>0.27083333333333337</v>
      </c>
      <c r="G9" s="195">
        <f t="shared" si="1"/>
        <v>6.5</v>
      </c>
      <c r="H9" s="142">
        <v>7</v>
      </c>
      <c r="I9" s="196">
        <f t="shared" si="2"/>
        <v>1.2708333333333333</v>
      </c>
      <c r="J9" s="197">
        <f ca="1" t="shared" si="5"/>
        <v>8.211538461538462</v>
      </c>
      <c r="K9" s="209">
        <f ca="1" t="shared" si="3"/>
        <v>40451</v>
      </c>
      <c r="M9" s="209">
        <f ca="1" t="shared" si="4"/>
        <v>40451</v>
      </c>
      <c r="N9" s="179"/>
      <c r="O9" s="180"/>
    </row>
    <row r="10" spans="1:15" ht="12.75">
      <c r="A10" s="173" t="s">
        <v>244</v>
      </c>
      <c r="B10" s="142">
        <v>3456789</v>
      </c>
      <c r="C10" s="174">
        <v>37325</v>
      </c>
      <c r="D10" s="175">
        <v>0.53125</v>
      </c>
      <c r="E10" s="175">
        <v>0.7708333333333334</v>
      </c>
      <c r="F10" s="194">
        <f t="shared" si="0"/>
        <v>0.23958333333333337</v>
      </c>
      <c r="G10" s="195">
        <f t="shared" si="1"/>
        <v>5.75</v>
      </c>
      <c r="H10" s="142">
        <v>6</v>
      </c>
      <c r="I10" s="196">
        <f t="shared" si="2"/>
        <v>0.78125</v>
      </c>
      <c r="J10" s="197">
        <f ca="1" t="shared" si="5"/>
        <v>7.769230769230769</v>
      </c>
      <c r="K10" s="209">
        <f ca="1" t="shared" si="3"/>
        <v>40247</v>
      </c>
      <c r="M10" s="209">
        <f ca="1" t="shared" si="4"/>
        <v>40247</v>
      </c>
      <c r="N10" s="179"/>
      <c r="O10" s="180"/>
    </row>
    <row r="11" spans="1:15" ht="12.75">
      <c r="A11" s="173" t="s">
        <v>245</v>
      </c>
      <c r="B11" s="142">
        <v>9123456</v>
      </c>
      <c r="C11" s="174">
        <v>38635</v>
      </c>
      <c r="D11" s="175">
        <v>0.8958333333333334</v>
      </c>
      <c r="E11" s="175">
        <v>0.15625</v>
      </c>
      <c r="F11" s="194">
        <f t="shared" si="0"/>
        <v>0.26041666666666663</v>
      </c>
      <c r="G11" s="195">
        <f t="shared" si="1"/>
        <v>6.25</v>
      </c>
      <c r="H11" s="142">
        <v>6</v>
      </c>
      <c r="I11" s="196">
        <f t="shared" si="2"/>
        <v>1.1458333333333335</v>
      </c>
      <c r="J11" s="197">
        <f ca="1" t="shared" si="5"/>
        <v>4.170329670329671</v>
      </c>
      <c r="K11" s="209">
        <f ca="1" t="shared" si="3"/>
        <v>40461</v>
      </c>
      <c r="M11" s="209">
        <f ca="1" t="shared" si="4"/>
        <v>40461</v>
      </c>
      <c r="N11" s="179"/>
      <c r="O11" s="180"/>
    </row>
    <row r="12" spans="1:15" ht="12.75">
      <c r="A12" s="173" t="s">
        <v>246</v>
      </c>
      <c r="B12" s="142">
        <v>7890123</v>
      </c>
      <c r="C12" s="174">
        <v>36697</v>
      </c>
      <c r="D12" s="175">
        <v>0.375</v>
      </c>
      <c r="E12" s="175">
        <v>0.625</v>
      </c>
      <c r="F12" s="194">
        <f t="shared" si="0"/>
        <v>0.25</v>
      </c>
      <c r="G12" s="195">
        <f t="shared" si="1"/>
        <v>6</v>
      </c>
      <c r="H12" s="142">
        <v>5</v>
      </c>
      <c r="I12" s="196">
        <f t="shared" si="2"/>
        <v>0.5833333333333334</v>
      </c>
      <c r="J12" s="197">
        <f ca="1" t="shared" si="5"/>
        <v>9.494505494505495</v>
      </c>
      <c r="K12" s="209">
        <f ca="1" t="shared" si="3"/>
        <v>40349</v>
      </c>
      <c r="M12" s="209">
        <f ca="1" t="shared" si="4"/>
        <v>40349</v>
      </c>
      <c r="N12" s="179"/>
      <c r="O12" s="180"/>
    </row>
    <row r="13" spans="1:15" ht="12.75">
      <c r="A13" s="173" t="s">
        <v>247</v>
      </c>
      <c r="B13" s="142">
        <v>4567890</v>
      </c>
      <c r="C13" s="174">
        <v>37087</v>
      </c>
      <c r="D13" s="175">
        <v>0.4583333333333333</v>
      </c>
      <c r="E13" s="175">
        <v>0.7083333333333334</v>
      </c>
      <c r="F13" s="194">
        <f t="shared" si="0"/>
        <v>0.25000000000000006</v>
      </c>
      <c r="G13" s="195">
        <f t="shared" si="1"/>
        <v>6</v>
      </c>
      <c r="H13" s="142">
        <v>5.5</v>
      </c>
      <c r="I13" s="196">
        <f t="shared" si="2"/>
        <v>0.6875</v>
      </c>
      <c r="J13" s="197">
        <f ca="1" t="shared" si="5"/>
        <v>8.423076923076923</v>
      </c>
      <c r="K13" s="209">
        <f ca="1" t="shared" si="3"/>
        <v>40374</v>
      </c>
      <c r="M13" s="209">
        <f ca="1" t="shared" si="4"/>
        <v>40374</v>
      </c>
      <c r="N13" s="179"/>
      <c r="O13" s="180"/>
    </row>
    <row r="14" ht="12.75">
      <c r="L14" s="179"/>
    </row>
    <row r="15" spans="6:12" ht="12.75">
      <c r="F15" s="181" t="s">
        <v>248</v>
      </c>
      <c r="G15" s="182"/>
      <c r="H15" s="183"/>
      <c r="L15" s="179"/>
    </row>
    <row r="16" spans="5:12" ht="12.75">
      <c r="E16" s="184" t="s">
        <v>249</v>
      </c>
      <c r="F16" s="184"/>
      <c r="G16" s="184"/>
      <c r="H16" s="184"/>
      <c r="I16" s="199">
        <f>DATE(2006,10,9)</f>
        <v>38999</v>
      </c>
      <c r="L16" s="179"/>
    </row>
    <row r="17" spans="1:12" ht="12.75">
      <c r="A17" s="186"/>
      <c r="E17" s="184" t="s">
        <v>250</v>
      </c>
      <c r="F17" s="184"/>
      <c r="G17" s="184"/>
      <c r="H17" s="184"/>
      <c r="I17" s="199">
        <f ca="1">TODAY()</f>
        <v>40153</v>
      </c>
      <c r="L17" s="179"/>
    </row>
    <row r="18" spans="1:12" ht="12.75">
      <c r="A18" s="186"/>
      <c r="E18" s="184" t="s">
        <v>251</v>
      </c>
      <c r="F18" s="184"/>
      <c r="G18" s="184"/>
      <c r="H18" s="184"/>
      <c r="I18" s="200">
        <f ca="1">NOW()</f>
        <v>40153.7257181713</v>
      </c>
      <c r="L18" s="179"/>
    </row>
    <row r="19" spans="1:9" ht="12.75">
      <c r="A19" s="186"/>
      <c r="E19" s="184" t="s">
        <v>252</v>
      </c>
      <c r="F19" s="184"/>
      <c r="G19" s="184"/>
      <c r="H19" s="184"/>
      <c r="I19" s="201">
        <f ca="1">YEAR(TODAY())</f>
        <v>2009</v>
      </c>
    </row>
    <row r="20" spans="1:12" ht="12.75">
      <c r="A20" s="186"/>
      <c r="E20" s="184" t="s">
        <v>253</v>
      </c>
      <c r="F20" s="184"/>
      <c r="G20" s="184"/>
      <c r="H20" s="184"/>
      <c r="I20" s="201">
        <f ca="1">MONTH(TODAY())</f>
        <v>12</v>
      </c>
      <c r="L20" s="180"/>
    </row>
    <row r="21" spans="1:12" ht="12.75">
      <c r="A21" s="186"/>
      <c r="E21" s="184" t="s">
        <v>254</v>
      </c>
      <c r="F21" s="184"/>
      <c r="G21" s="184"/>
      <c r="H21" s="184"/>
      <c r="I21" s="195">
        <f ca="1">DAY(TODAY())</f>
        <v>6</v>
      </c>
      <c r="L21" s="180"/>
    </row>
    <row r="22" spans="1:12" ht="12.75">
      <c r="A22" s="186"/>
      <c r="E22" s="184" t="s">
        <v>255</v>
      </c>
      <c r="F22" s="184"/>
      <c r="G22" s="184"/>
      <c r="H22" s="184"/>
      <c r="I22" s="202">
        <f ca="1">WEEKDAY(TODAY(),1)</f>
        <v>1</v>
      </c>
      <c r="L22" s="180"/>
    </row>
    <row r="23" spans="1:12" ht="12.75">
      <c r="A23" s="186"/>
      <c r="E23" s="184" t="s">
        <v>256</v>
      </c>
      <c r="F23" s="184"/>
      <c r="G23" s="184"/>
      <c r="H23" s="184"/>
      <c r="I23" s="199">
        <f ca="1">DATE(YEAR(TODAY()),MONTH(TODAY())+2,DAY(TODAY()))</f>
        <v>40215</v>
      </c>
      <c r="L23" s="180"/>
    </row>
    <row r="24" spans="1:9" ht="12.75">
      <c r="A24" s="186"/>
      <c r="E24" s="184" t="s">
        <v>257</v>
      </c>
      <c r="F24" s="184"/>
      <c r="G24" s="184"/>
      <c r="H24" s="184"/>
      <c r="I24" s="199">
        <f ca="1">DATE(YEAR(TODAY()),MONTH(TODAY())+3,DAY(TODAY())+10)</f>
        <v>40253</v>
      </c>
    </row>
    <row r="25" spans="1:9" ht="12.75">
      <c r="A25" s="186"/>
      <c r="E25" s="184" t="s">
        <v>258</v>
      </c>
      <c r="F25" s="184"/>
      <c r="G25" s="184"/>
      <c r="H25" s="184"/>
      <c r="I25" s="203">
        <f>TIME(13,15,0)</f>
        <v>0.5520833333333334</v>
      </c>
    </row>
    <row r="26" spans="1:9" ht="12.75">
      <c r="A26" s="186"/>
      <c r="E26" s="184" t="s">
        <v>259</v>
      </c>
      <c r="F26" s="184"/>
      <c r="G26" s="184"/>
      <c r="H26" s="184"/>
      <c r="I26" s="195">
        <f ca="1">HOUR(NOW())</f>
        <v>17</v>
      </c>
    </row>
    <row r="27" spans="1:9" ht="12.75">
      <c r="A27" s="186"/>
      <c r="E27" s="184" t="s">
        <v>260</v>
      </c>
      <c r="F27" s="184"/>
      <c r="G27" s="184"/>
      <c r="H27" s="184"/>
      <c r="I27" s="195">
        <f ca="1">MINUTE(NOW())</f>
        <v>25</v>
      </c>
    </row>
    <row r="28" spans="5:15" ht="12.75">
      <c r="E28" s="184" t="s">
        <v>261</v>
      </c>
      <c r="F28" s="184"/>
      <c r="G28" s="184"/>
      <c r="H28" s="184"/>
      <c r="I28" s="195">
        <f ca="1">WEEKNUM(TODAY())</f>
        <v>50</v>
      </c>
      <c r="O28" s="192"/>
    </row>
    <row r="30" ht="12.75">
      <c r="K30" s="193"/>
    </row>
    <row r="31" ht="12.75">
      <c r="O31" s="204"/>
    </row>
  </sheetData>
  <sheetProtection/>
  <mergeCells count="15">
    <mergeCell ref="E26:H26"/>
    <mergeCell ref="E27:H27"/>
    <mergeCell ref="E28:H28"/>
    <mergeCell ref="E20:H20"/>
    <mergeCell ref="E21:H21"/>
    <mergeCell ref="E22:H22"/>
    <mergeCell ref="E23:H23"/>
    <mergeCell ref="E24:H24"/>
    <mergeCell ref="E25:H25"/>
    <mergeCell ref="E2:H2"/>
    <mergeCell ref="F15:H15"/>
    <mergeCell ref="E16:H16"/>
    <mergeCell ref="E17:H17"/>
    <mergeCell ref="E18:H18"/>
    <mergeCell ref="E19:H19"/>
  </mergeCells>
  <printOptions/>
  <pageMargins left="0.75" right="0.75" top="1" bottom="1" header="0.5" footer="0.5"/>
  <pageSetup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0"/>
  <sheetViews>
    <sheetView rightToLeft="1" workbookViewId="0" topLeftCell="A1">
      <selection activeCell="A1" sqref="A1:Q1"/>
    </sheetView>
  </sheetViews>
  <sheetFormatPr defaultColWidth="9.140625" defaultRowHeight="12.75"/>
  <cols>
    <col min="1" max="1" width="4.7109375" style="0" customWidth="1"/>
    <col min="2" max="2" width="13.28125" style="0" customWidth="1"/>
    <col min="3" max="3" width="8.8515625" style="0" bestFit="1" customWidth="1"/>
    <col min="4" max="5" width="7.140625" style="0" customWidth="1"/>
    <col min="6" max="6" width="9.421875" style="0" bestFit="1" customWidth="1"/>
    <col min="7" max="9" width="6.00390625" style="0" customWidth="1"/>
    <col min="11" max="11" width="8.28125" style="3" customWidth="1"/>
    <col min="12" max="12" width="7.28125" style="3" customWidth="1"/>
  </cols>
  <sheetData>
    <row r="1" spans="1:17" ht="30.75">
      <c r="A1" s="107" t="s">
        <v>42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</row>
    <row r="2" ht="13.5" thickBot="1"/>
    <row r="3" spans="1:17" s="6" customFormat="1" ht="43.5" customHeight="1" thickBot="1" thickTop="1">
      <c r="A3" s="108" t="s">
        <v>43</v>
      </c>
      <c r="B3" s="12" t="s">
        <v>41</v>
      </c>
      <c r="C3" s="13" t="s">
        <v>0</v>
      </c>
      <c r="D3" s="13" t="s">
        <v>8</v>
      </c>
      <c r="E3" s="13" t="s">
        <v>47</v>
      </c>
      <c r="F3" s="13" t="s">
        <v>48</v>
      </c>
      <c r="G3" s="13" t="s">
        <v>9</v>
      </c>
      <c r="H3" s="13" t="s">
        <v>10</v>
      </c>
      <c r="I3" s="13" t="s">
        <v>11</v>
      </c>
      <c r="J3" s="13" t="s">
        <v>12</v>
      </c>
      <c r="K3" s="13" t="s">
        <v>13</v>
      </c>
      <c r="L3" s="13" t="s">
        <v>14</v>
      </c>
      <c r="M3" s="13" t="s">
        <v>15</v>
      </c>
      <c r="N3" s="13" t="s">
        <v>16</v>
      </c>
      <c r="O3" s="13" t="s">
        <v>39</v>
      </c>
      <c r="P3" s="13" t="s">
        <v>40</v>
      </c>
      <c r="Q3" s="14" t="s">
        <v>55</v>
      </c>
    </row>
    <row r="4" spans="1:17" ht="13.5" thickTop="1">
      <c r="A4" s="109"/>
      <c r="B4" s="18">
        <v>830998987</v>
      </c>
      <c r="C4" s="10" t="s">
        <v>4</v>
      </c>
      <c r="D4" s="10" t="s">
        <v>18</v>
      </c>
      <c r="E4" s="21">
        <v>55235</v>
      </c>
      <c r="F4" s="36">
        <v>6347234</v>
      </c>
      <c r="G4" s="10">
        <v>80</v>
      </c>
      <c r="H4" s="10"/>
      <c r="I4" s="10">
        <v>87</v>
      </c>
      <c r="J4" s="27">
        <f aca="true" t="shared" si="0" ref="J4:J13">AVERAGE(G4:I4)</f>
        <v>83.5</v>
      </c>
      <c r="K4" s="10">
        <v>90</v>
      </c>
      <c r="L4" s="10"/>
      <c r="M4" s="30">
        <f aca="true" t="shared" si="1" ref="M4:M13">ROUND(G4*$C$27+H4*$C$28+I4*$C$29+K4*$C$30+L4*$C$31,0)</f>
        <v>44</v>
      </c>
      <c r="N4" s="10" t="str">
        <f aca="true" t="shared" si="2" ref="N4:N13">IF(M4&lt;$D$35,$B$35,IF(M4&lt;$D$36,$B$36,$B$37))</f>
        <v>נכשל</v>
      </c>
      <c r="O4" s="10">
        <f aca="true" t="shared" si="3" ref="O4:O13">IF(AND(D4="נ",N4=$B$37),"מלגה","")</f>
      </c>
      <c r="P4" s="10" t="str">
        <f aca="true" t="shared" si="4" ref="P4:P13">IF(OR(D4="נ",N4=$B$37),"מלגה","")</f>
        <v>מלגה</v>
      </c>
      <c r="Q4" s="11">
        <f aca="true" t="shared" si="5" ref="Q4:Q13">RANK(M4,$M$4:$M$13,0)</f>
        <v>10</v>
      </c>
    </row>
    <row r="5" spans="1:17" ht="12.75">
      <c r="A5" s="109"/>
      <c r="B5" s="19">
        <v>298754355</v>
      </c>
      <c r="C5" s="1" t="s">
        <v>6</v>
      </c>
      <c r="D5" s="1" t="s">
        <v>17</v>
      </c>
      <c r="E5" s="22">
        <v>56324</v>
      </c>
      <c r="F5" s="24">
        <v>3527439</v>
      </c>
      <c r="G5" s="1">
        <v>88</v>
      </c>
      <c r="H5" s="1">
        <v>90</v>
      </c>
      <c r="I5" s="1">
        <v>74</v>
      </c>
      <c r="J5" s="17">
        <f t="shared" si="0"/>
        <v>84</v>
      </c>
      <c r="K5" s="1">
        <v>55</v>
      </c>
      <c r="L5" s="1">
        <v>45</v>
      </c>
      <c r="M5" s="31">
        <f t="shared" si="1"/>
        <v>60</v>
      </c>
      <c r="N5" s="1" t="str">
        <f t="shared" si="2"/>
        <v>עובר</v>
      </c>
      <c r="O5" s="1">
        <f t="shared" si="3"/>
      </c>
      <c r="P5" s="1">
        <f t="shared" si="4"/>
      </c>
      <c r="Q5" s="7">
        <f t="shared" si="5"/>
        <v>8</v>
      </c>
    </row>
    <row r="6" spans="1:17" ht="12.75">
      <c r="A6" s="109"/>
      <c r="B6" s="19">
        <v>388923057</v>
      </c>
      <c r="C6" s="1" t="s">
        <v>4</v>
      </c>
      <c r="D6" s="1" t="s">
        <v>18</v>
      </c>
      <c r="E6" s="22">
        <v>86534</v>
      </c>
      <c r="F6" s="24">
        <v>7563094</v>
      </c>
      <c r="G6" s="1">
        <v>60</v>
      </c>
      <c r="H6" s="1">
        <v>100</v>
      </c>
      <c r="I6" s="1">
        <v>80</v>
      </c>
      <c r="J6" s="17">
        <f t="shared" si="0"/>
        <v>80</v>
      </c>
      <c r="K6" s="1">
        <v>40</v>
      </c>
      <c r="L6" s="1">
        <v>61</v>
      </c>
      <c r="M6" s="31">
        <f t="shared" si="1"/>
        <v>60</v>
      </c>
      <c r="N6" s="1" t="str">
        <f t="shared" si="2"/>
        <v>עובר</v>
      </c>
      <c r="O6" s="1">
        <f t="shared" si="3"/>
      </c>
      <c r="P6" s="1" t="str">
        <f t="shared" si="4"/>
        <v>מלגה</v>
      </c>
      <c r="Q6" s="7">
        <f t="shared" si="5"/>
        <v>8</v>
      </c>
    </row>
    <row r="7" spans="1:17" ht="12.75">
      <c r="A7" s="109"/>
      <c r="B7" s="19">
        <v>947465892</v>
      </c>
      <c r="C7" s="1" t="s">
        <v>19</v>
      </c>
      <c r="D7" s="1" t="s">
        <v>18</v>
      </c>
      <c r="E7" s="22">
        <v>41466</v>
      </c>
      <c r="F7" s="24">
        <v>3434324</v>
      </c>
      <c r="G7" s="1"/>
      <c r="H7" s="1">
        <v>79</v>
      </c>
      <c r="I7" s="1">
        <v>99</v>
      </c>
      <c r="J7" s="17">
        <f t="shared" si="0"/>
        <v>89</v>
      </c>
      <c r="K7" s="1">
        <v>86</v>
      </c>
      <c r="L7" s="1">
        <v>65</v>
      </c>
      <c r="M7" s="31">
        <f t="shared" si="1"/>
        <v>70</v>
      </c>
      <c r="N7" s="1" t="str">
        <f t="shared" si="2"/>
        <v>עובר</v>
      </c>
      <c r="O7" s="1">
        <f t="shared" si="3"/>
      </c>
      <c r="P7" s="1" t="str">
        <f t="shared" si="4"/>
        <v>מלגה</v>
      </c>
      <c r="Q7" s="7">
        <f t="shared" si="5"/>
        <v>7</v>
      </c>
    </row>
    <row r="8" spans="1:17" ht="12.75">
      <c r="A8" s="109"/>
      <c r="B8" s="19">
        <v>987636455</v>
      </c>
      <c r="C8" s="1" t="s">
        <v>5</v>
      </c>
      <c r="D8" s="1" t="s">
        <v>18</v>
      </c>
      <c r="E8" s="22">
        <v>44451</v>
      </c>
      <c r="F8" s="24">
        <v>3252524</v>
      </c>
      <c r="G8" s="1">
        <v>91</v>
      </c>
      <c r="H8" s="1">
        <v>79</v>
      </c>
      <c r="I8" s="1">
        <v>85</v>
      </c>
      <c r="J8" s="17">
        <f t="shared" si="0"/>
        <v>85</v>
      </c>
      <c r="K8" s="1">
        <v>100</v>
      </c>
      <c r="L8" s="1">
        <v>50</v>
      </c>
      <c r="M8" s="31">
        <f t="shared" si="1"/>
        <v>76</v>
      </c>
      <c r="N8" s="1" t="str">
        <f t="shared" si="2"/>
        <v>עובר</v>
      </c>
      <c r="O8" s="1">
        <f t="shared" si="3"/>
      </c>
      <c r="P8" s="1" t="str">
        <f t="shared" si="4"/>
        <v>מלגה</v>
      </c>
      <c r="Q8" s="7">
        <f t="shared" si="5"/>
        <v>6</v>
      </c>
    </row>
    <row r="9" spans="1:17" ht="12.75">
      <c r="A9" s="109"/>
      <c r="B9" s="19">
        <v>983687692</v>
      </c>
      <c r="C9" s="1" t="s">
        <v>7</v>
      </c>
      <c r="D9" s="1" t="s">
        <v>18</v>
      </c>
      <c r="E9" s="22">
        <v>44141</v>
      </c>
      <c r="F9" s="24">
        <v>8743644</v>
      </c>
      <c r="G9" s="1">
        <v>45</v>
      </c>
      <c r="H9" s="1">
        <v>60</v>
      </c>
      <c r="I9" s="1"/>
      <c r="J9" s="17">
        <f t="shared" si="0"/>
        <v>52.5</v>
      </c>
      <c r="K9" s="1">
        <v>99</v>
      </c>
      <c r="L9" s="1">
        <v>94</v>
      </c>
      <c r="M9" s="31">
        <f t="shared" si="1"/>
        <v>78</v>
      </c>
      <c r="N9" s="1" t="str">
        <f t="shared" si="2"/>
        <v>עובר</v>
      </c>
      <c r="O9" s="1">
        <f t="shared" si="3"/>
      </c>
      <c r="P9" s="1" t="str">
        <f t="shared" si="4"/>
        <v>מלגה</v>
      </c>
      <c r="Q9" s="7">
        <f t="shared" si="5"/>
        <v>5</v>
      </c>
    </row>
    <row r="10" spans="1:17" ht="12.75">
      <c r="A10" s="109"/>
      <c r="B10" s="19">
        <v>193878400</v>
      </c>
      <c r="C10" s="1" t="s">
        <v>2</v>
      </c>
      <c r="D10" s="1" t="s">
        <v>18</v>
      </c>
      <c r="E10" s="22">
        <v>70000</v>
      </c>
      <c r="F10" s="24">
        <v>9876544</v>
      </c>
      <c r="G10" s="1">
        <v>81</v>
      </c>
      <c r="H10" s="1">
        <v>80</v>
      </c>
      <c r="I10" s="1">
        <v>82</v>
      </c>
      <c r="J10" s="17">
        <f t="shared" si="0"/>
        <v>81</v>
      </c>
      <c r="K10" s="1">
        <v>81</v>
      </c>
      <c r="L10" s="1">
        <v>81</v>
      </c>
      <c r="M10" s="31">
        <f t="shared" si="1"/>
        <v>81</v>
      </c>
      <c r="N10" s="1" t="str">
        <f t="shared" si="2"/>
        <v>עובר</v>
      </c>
      <c r="O10" s="1">
        <f t="shared" si="3"/>
      </c>
      <c r="P10" s="1" t="str">
        <f t="shared" si="4"/>
        <v>מלגה</v>
      </c>
      <c r="Q10" s="7">
        <f t="shared" si="5"/>
        <v>4</v>
      </c>
    </row>
    <row r="11" spans="1:17" ht="12.75">
      <c r="A11" s="109"/>
      <c r="B11" s="19">
        <v>658370843</v>
      </c>
      <c r="C11" s="1" t="s">
        <v>3</v>
      </c>
      <c r="D11" s="1" t="s">
        <v>18</v>
      </c>
      <c r="E11" s="22">
        <v>83934</v>
      </c>
      <c r="F11" s="24">
        <v>8763456</v>
      </c>
      <c r="G11" s="1">
        <v>67</v>
      </c>
      <c r="H11" s="1">
        <v>99</v>
      </c>
      <c r="I11" s="1">
        <v>69</v>
      </c>
      <c r="J11" s="17">
        <f t="shared" si="0"/>
        <v>78.33333333333333</v>
      </c>
      <c r="K11" s="1">
        <v>90</v>
      </c>
      <c r="L11" s="1">
        <v>85</v>
      </c>
      <c r="M11" s="31">
        <f t="shared" si="1"/>
        <v>85</v>
      </c>
      <c r="N11" s="1" t="str">
        <f t="shared" si="2"/>
        <v>מצטיין</v>
      </c>
      <c r="O11" s="1" t="str">
        <f t="shared" si="3"/>
        <v>מלגה</v>
      </c>
      <c r="P11" s="1" t="str">
        <f t="shared" si="4"/>
        <v>מלגה</v>
      </c>
      <c r="Q11" s="7">
        <f t="shared" si="5"/>
        <v>3</v>
      </c>
    </row>
    <row r="12" spans="1:17" ht="12.75">
      <c r="A12" s="109"/>
      <c r="B12" s="19">
        <v>12345678</v>
      </c>
      <c r="C12" s="1" t="s">
        <v>1</v>
      </c>
      <c r="D12" s="1" t="s">
        <v>17</v>
      </c>
      <c r="E12" s="22">
        <v>123</v>
      </c>
      <c r="F12" s="35">
        <v>9877665</v>
      </c>
      <c r="G12" s="1">
        <v>89</v>
      </c>
      <c r="H12" s="1">
        <v>86</v>
      </c>
      <c r="I12" s="1">
        <v>99</v>
      </c>
      <c r="J12" s="17">
        <f t="shared" si="0"/>
        <v>91.33333333333333</v>
      </c>
      <c r="K12" s="1">
        <v>99</v>
      </c>
      <c r="L12" s="1">
        <v>80</v>
      </c>
      <c r="M12" s="31">
        <f t="shared" si="1"/>
        <v>89</v>
      </c>
      <c r="N12" s="1" t="str">
        <f t="shared" si="2"/>
        <v>מצטיין</v>
      </c>
      <c r="O12" s="1">
        <f t="shared" si="3"/>
      </c>
      <c r="P12" s="1" t="str">
        <f t="shared" si="4"/>
        <v>מלגה</v>
      </c>
      <c r="Q12" s="7">
        <f t="shared" si="5"/>
        <v>2</v>
      </c>
    </row>
    <row r="13" spans="1:17" ht="13.5" thickBot="1">
      <c r="A13" s="110"/>
      <c r="B13" s="20">
        <v>244576280</v>
      </c>
      <c r="C13" s="8" t="s">
        <v>19</v>
      </c>
      <c r="D13" s="8" t="s">
        <v>17</v>
      </c>
      <c r="E13" s="23">
        <v>55326</v>
      </c>
      <c r="F13" s="25">
        <v>2118758</v>
      </c>
      <c r="G13" s="8">
        <v>94</v>
      </c>
      <c r="H13" s="8">
        <v>100</v>
      </c>
      <c r="I13" s="8">
        <v>93</v>
      </c>
      <c r="J13" s="28">
        <f t="shared" si="0"/>
        <v>95.66666666666667</v>
      </c>
      <c r="K13" s="8">
        <v>95</v>
      </c>
      <c r="L13" s="8">
        <v>100</v>
      </c>
      <c r="M13" s="32">
        <f t="shared" si="1"/>
        <v>97</v>
      </c>
      <c r="N13" s="8" t="str">
        <f t="shared" si="2"/>
        <v>מצטיין</v>
      </c>
      <c r="O13" s="8">
        <f t="shared" si="3"/>
      </c>
      <c r="P13" s="8" t="str">
        <f t="shared" si="4"/>
        <v>מלגה</v>
      </c>
      <c r="Q13" s="9">
        <f t="shared" si="5"/>
        <v>1</v>
      </c>
    </row>
    <row r="14" spans="11:12" ht="13.5" thickTop="1">
      <c r="K14"/>
      <c r="L14"/>
    </row>
    <row r="15" spans="1:13" ht="12.75">
      <c r="A15" s="111" t="s">
        <v>44</v>
      </c>
      <c r="B15" s="1" t="s">
        <v>20</v>
      </c>
      <c r="C15" s="1"/>
      <c r="D15" s="1"/>
      <c r="E15" s="1"/>
      <c r="F15" s="1"/>
      <c r="G15" s="17">
        <f>AVERAGE(G4:G13)</f>
        <v>77.22222222222223</v>
      </c>
      <c r="H15" s="17">
        <f aca="true" t="shared" si="6" ref="H15:M15">AVERAGE(H4:H13)</f>
        <v>85.88888888888889</v>
      </c>
      <c r="I15" s="17">
        <f t="shared" si="6"/>
        <v>85.33333333333333</v>
      </c>
      <c r="J15" s="17">
        <f t="shared" si="6"/>
        <v>82.03333333333333</v>
      </c>
      <c r="K15" s="17">
        <f t="shared" si="6"/>
        <v>83.5</v>
      </c>
      <c r="L15" s="17">
        <f t="shared" si="6"/>
        <v>73.44444444444444</v>
      </c>
      <c r="M15" s="17">
        <f t="shared" si="6"/>
        <v>74</v>
      </c>
    </row>
    <row r="16" spans="1:13" ht="12.75">
      <c r="A16" s="112"/>
      <c r="B16" s="1" t="s">
        <v>21</v>
      </c>
      <c r="C16" s="1"/>
      <c r="D16" s="1"/>
      <c r="E16" s="1"/>
      <c r="F16" s="1"/>
      <c r="G16" s="17">
        <f>MEDIAN(G4:G13)</f>
        <v>81</v>
      </c>
      <c r="H16" s="17">
        <f aca="true" t="shared" si="7" ref="H16:M16">MEDIAN(H4:H13)</f>
        <v>86</v>
      </c>
      <c r="I16" s="17">
        <f t="shared" si="7"/>
        <v>85</v>
      </c>
      <c r="J16" s="17">
        <f t="shared" si="7"/>
        <v>83.75</v>
      </c>
      <c r="K16" s="17">
        <f t="shared" si="7"/>
        <v>90</v>
      </c>
      <c r="L16" s="17">
        <f t="shared" si="7"/>
        <v>80</v>
      </c>
      <c r="M16" s="17">
        <f t="shared" si="7"/>
        <v>77</v>
      </c>
    </row>
    <row r="17" spans="1:13" ht="12.75">
      <c r="A17" s="112"/>
      <c r="B17" s="1" t="s">
        <v>22</v>
      </c>
      <c r="C17" s="1"/>
      <c r="D17" s="1"/>
      <c r="E17" s="1"/>
      <c r="F17" s="1"/>
      <c r="G17" s="17" t="e">
        <f>MODE(G4:G13)</f>
        <v>#N/A</v>
      </c>
      <c r="H17" s="17">
        <f aca="true" t="shared" si="8" ref="H17:M17">MODE(H4:H13)</f>
        <v>100</v>
      </c>
      <c r="I17" s="17">
        <f t="shared" si="8"/>
        <v>99</v>
      </c>
      <c r="J17" s="17" t="e">
        <f t="shared" si="8"/>
        <v>#N/A</v>
      </c>
      <c r="K17" s="17">
        <f t="shared" si="8"/>
        <v>90</v>
      </c>
      <c r="L17" s="17" t="e">
        <f t="shared" si="8"/>
        <v>#N/A</v>
      </c>
      <c r="M17" s="17">
        <f t="shared" si="8"/>
        <v>60</v>
      </c>
    </row>
    <row r="18" spans="1:13" ht="12.75">
      <c r="A18" s="112"/>
      <c r="B18" s="1" t="s">
        <v>23</v>
      </c>
      <c r="C18" s="1"/>
      <c r="D18" s="1"/>
      <c r="E18" s="1"/>
      <c r="F18" s="1"/>
      <c r="G18" s="1">
        <f>MAX(G4:G13)</f>
        <v>94</v>
      </c>
      <c r="H18" s="1">
        <f aca="true" t="shared" si="9" ref="H18:M18">MAX(H4:H13)</f>
        <v>100</v>
      </c>
      <c r="I18" s="1">
        <f t="shared" si="9"/>
        <v>99</v>
      </c>
      <c r="J18" s="1">
        <f t="shared" si="9"/>
        <v>95.66666666666667</v>
      </c>
      <c r="K18" s="1">
        <f t="shared" si="9"/>
        <v>100</v>
      </c>
      <c r="L18" s="1">
        <f t="shared" si="9"/>
        <v>100</v>
      </c>
      <c r="M18" s="1">
        <f t="shared" si="9"/>
        <v>97</v>
      </c>
    </row>
    <row r="19" spans="1:13" ht="12.75">
      <c r="A19" s="112"/>
      <c r="B19" s="1" t="s">
        <v>24</v>
      </c>
      <c r="C19" s="1"/>
      <c r="D19" s="1"/>
      <c r="E19" s="1"/>
      <c r="F19" s="1"/>
      <c r="G19" s="1">
        <f>MIN(G4:G13)</f>
        <v>45</v>
      </c>
      <c r="H19" s="1">
        <f aca="true" t="shared" si="10" ref="H19:M19">MIN(H4:H13)</f>
        <v>60</v>
      </c>
      <c r="I19" s="1">
        <f t="shared" si="10"/>
        <v>69</v>
      </c>
      <c r="J19" s="1">
        <f t="shared" si="10"/>
        <v>52.5</v>
      </c>
      <c r="K19" s="1">
        <f t="shared" si="10"/>
        <v>40</v>
      </c>
      <c r="L19" s="1">
        <f t="shared" si="10"/>
        <v>45</v>
      </c>
      <c r="M19" s="1">
        <f t="shared" si="10"/>
        <v>44</v>
      </c>
    </row>
    <row r="20" spans="1:13" ht="12.75">
      <c r="A20" s="112"/>
      <c r="B20" s="1" t="s">
        <v>37</v>
      </c>
      <c r="C20" s="1"/>
      <c r="D20" s="1"/>
      <c r="E20" s="1"/>
      <c r="F20" s="1"/>
      <c r="G20" s="1">
        <f>COUNT(G4:G13)</f>
        <v>9</v>
      </c>
      <c r="H20" s="1">
        <f aca="true" t="shared" si="11" ref="H20:M20">COUNT(H4:H13)</f>
        <v>9</v>
      </c>
      <c r="I20" s="1">
        <f t="shared" si="11"/>
        <v>9</v>
      </c>
      <c r="J20" s="1">
        <f t="shared" si="11"/>
        <v>10</v>
      </c>
      <c r="K20" s="1">
        <f t="shared" si="11"/>
        <v>10</v>
      </c>
      <c r="L20" s="1">
        <f t="shared" si="11"/>
        <v>9</v>
      </c>
      <c r="M20" s="1">
        <f t="shared" si="11"/>
        <v>10</v>
      </c>
    </row>
    <row r="21" spans="1:13" ht="12.75">
      <c r="A21" s="112"/>
      <c r="B21" s="29" t="s">
        <v>52</v>
      </c>
      <c r="C21" s="1"/>
      <c r="D21" s="1"/>
      <c r="E21" s="1"/>
      <c r="F21" s="1"/>
      <c r="G21" s="1">
        <f>COUNTIF(G4:G13,"&lt; "&amp;$C$36)</f>
        <v>1</v>
      </c>
      <c r="H21" s="1">
        <f aca="true" t="shared" si="12" ref="H21:M21">COUNTIF(H4:H13,"&lt; "&amp;$C$36)</f>
        <v>0</v>
      </c>
      <c r="I21" s="1">
        <f t="shared" si="12"/>
        <v>0</v>
      </c>
      <c r="J21" s="1">
        <f t="shared" si="12"/>
        <v>1</v>
      </c>
      <c r="K21" s="1">
        <f t="shared" si="12"/>
        <v>2</v>
      </c>
      <c r="L21" s="1">
        <f t="shared" si="12"/>
        <v>2</v>
      </c>
      <c r="M21" s="1">
        <f t="shared" si="12"/>
        <v>1</v>
      </c>
    </row>
    <row r="22" spans="1:13" ht="12.75">
      <c r="A22" s="112"/>
      <c r="B22" s="29" t="s">
        <v>53</v>
      </c>
      <c r="C22" s="1"/>
      <c r="D22" s="1"/>
      <c r="E22" s="1"/>
      <c r="F22" s="1"/>
      <c r="G22" s="1">
        <f>COUNTIF(G4:G13,"&lt; "&amp;$C$37)-G21</f>
        <v>4</v>
      </c>
      <c r="H22" s="1">
        <f aca="true" t="shared" si="13" ref="H22:M22">COUNTIF(H4:H13,"&lt; "&amp;$C$37)-H21</f>
        <v>4</v>
      </c>
      <c r="I22" s="1">
        <f t="shared" si="13"/>
        <v>4</v>
      </c>
      <c r="J22" s="1">
        <f t="shared" si="13"/>
        <v>5</v>
      </c>
      <c r="K22" s="1">
        <f t="shared" si="13"/>
        <v>1</v>
      </c>
      <c r="L22" s="1">
        <f t="shared" si="13"/>
        <v>4</v>
      </c>
      <c r="M22" s="1">
        <f t="shared" si="13"/>
        <v>6</v>
      </c>
    </row>
    <row r="23" spans="1:13" ht="12.75">
      <c r="A23" s="112"/>
      <c r="B23" s="29" t="s">
        <v>51</v>
      </c>
      <c r="C23" s="1"/>
      <c r="D23" s="1"/>
      <c r="E23" s="1"/>
      <c r="F23" s="1"/>
      <c r="G23" s="1">
        <f>COUNTIF(G4:G13,"&gt;= "&amp;$C$37)</f>
        <v>4</v>
      </c>
      <c r="H23" s="1">
        <f aca="true" t="shared" si="14" ref="H23:M23">COUNTIF(H4:H13,"&gt;= "&amp;$C$37)</f>
        <v>5</v>
      </c>
      <c r="I23" s="1">
        <f t="shared" si="14"/>
        <v>5</v>
      </c>
      <c r="J23" s="1">
        <f t="shared" si="14"/>
        <v>4</v>
      </c>
      <c r="K23" s="1">
        <f t="shared" si="14"/>
        <v>7</v>
      </c>
      <c r="L23" s="1">
        <f t="shared" si="14"/>
        <v>3</v>
      </c>
      <c r="M23" s="1">
        <f t="shared" si="14"/>
        <v>3</v>
      </c>
    </row>
    <row r="24" spans="1:13" ht="12.75">
      <c r="A24" s="112"/>
      <c r="B24" s="29" t="s">
        <v>50</v>
      </c>
      <c r="C24" s="1"/>
      <c r="D24" s="1">
        <f>SUMIF(D4:D13,F25,M4:M13)/E25</f>
        <v>70.57142857142857</v>
      </c>
      <c r="E24" s="1"/>
      <c r="F24" s="1"/>
      <c r="G24" s="1"/>
      <c r="H24" s="1"/>
      <c r="I24" s="1"/>
      <c r="J24" s="1"/>
      <c r="K24" s="1"/>
      <c r="L24" s="1"/>
      <c r="M24" s="1"/>
    </row>
    <row r="25" spans="1:13" ht="12.75">
      <c r="A25" s="112"/>
      <c r="B25" s="1" t="s">
        <v>38</v>
      </c>
      <c r="C25" s="1">
        <f>COUNTA(B4:B13)</f>
        <v>10</v>
      </c>
      <c r="D25" s="29" t="s">
        <v>49</v>
      </c>
      <c r="E25" s="1">
        <f>COUNTIF(D4:D13,F25)</f>
        <v>7</v>
      </c>
      <c r="F25" s="29" t="s">
        <v>18</v>
      </c>
      <c r="G25" s="1"/>
      <c r="H25" s="1"/>
      <c r="I25" s="1"/>
      <c r="J25" s="1"/>
      <c r="K25" s="1"/>
      <c r="L25" s="1"/>
      <c r="M25" s="1"/>
    </row>
    <row r="26" spans="11:12" ht="12.75">
      <c r="K26"/>
      <c r="L26"/>
    </row>
    <row r="27" spans="1:12" ht="12.75" customHeight="1">
      <c r="A27" s="105" t="s">
        <v>45</v>
      </c>
      <c r="B27" s="1" t="s">
        <v>25</v>
      </c>
      <c r="C27" s="15">
        <v>0.1</v>
      </c>
      <c r="K27"/>
      <c r="L27"/>
    </row>
    <row r="28" spans="1:12" ht="12.75">
      <c r="A28" s="105"/>
      <c r="B28" s="1" t="s">
        <v>26</v>
      </c>
      <c r="C28" s="15">
        <v>0.1</v>
      </c>
      <c r="K28"/>
      <c r="L28"/>
    </row>
    <row r="29" spans="1:12" ht="12.75">
      <c r="A29" s="105"/>
      <c r="B29" s="1" t="s">
        <v>27</v>
      </c>
      <c r="C29" s="15">
        <v>0.1</v>
      </c>
      <c r="K29"/>
      <c r="L29"/>
    </row>
    <row r="30" spans="1:12" ht="12.75">
      <c r="A30" s="105"/>
      <c r="B30" s="1" t="s">
        <v>28</v>
      </c>
      <c r="C30" s="15">
        <v>0.3</v>
      </c>
      <c r="K30"/>
      <c r="L30"/>
    </row>
    <row r="31" spans="1:12" ht="12.75">
      <c r="A31" s="105"/>
      <c r="B31" s="1" t="s">
        <v>29</v>
      </c>
      <c r="C31" s="15">
        <v>0.4</v>
      </c>
      <c r="K31"/>
      <c r="L31"/>
    </row>
    <row r="32" spans="1:12" ht="12.75">
      <c r="A32" s="105"/>
      <c r="B32" s="1" t="s">
        <v>30</v>
      </c>
      <c r="C32" s="16">
        <f>SUM(C27:C31)</f>
        <v>1</v>
      </c>
      <c r="K32"/>
      <c r="L32"/>
    </row>
    <row r="33" spans="11:12" ht="12.75" customHeight="1">
      <c r="K33"/>
      <c r="L33"/>
    </row>
    <row r="34" spans="1:13" ht="12.75">
      <c r="A34" s="105" t="s">
        <v>46</v>
      </c>
      <c r="B34" s="1"/>
      <c r="C34" s="1" t="s">
        <v>31</v>
      </c>
      <c r="D34" s="1" t="s">
        <v>32</v>
      </c>
      <c r="K34"/>
      <c r="L34"/>
      <c r="M34" s="3"/>
    </row>
    <row r="35" spans="1:13" ht="12.75">
      <c r="A35" s="105"/>
      <c r="B35" s="1" t="s">
        <v>33</v>
      </c>
      <c r="C35" s="17">
        <v>0</v>
      </c>
      <c r="D35" s="17">
        <v>59.49</v>
      </c>
      <c r="E35" s="5"/>
      <c r="F35" s="5"/>
      <c r="K35"/>
      <c r="L35"/>
      <c r="M35" s="4"/>
    </row>
    <row r="36" spans="1:13" ht="12.75">
      <c r="A36" s="105"/>
      <c r="B36" s="1" t="s">
        <v>34</v>
      </c>
      <c r="C36" s="17">
        <v>59.5</v>
      </c>
      <c r="D36" s="17">
        <v>84.49</v>
      </c>
      <c r="E36" s="5"/>
      <c r="F36" s="5"/>
      <c r="K36"/>
      <c r="L36"/>
      <c r="M36" s="3"/>
    </row>
    <row r="37" spans="1:16" s="3" customFormat="1" ht="12.75">
      <c r="A37" s="105"/>
      <c r="B37" s="1" t="s">
        <v>35</v>
      </c>
      <c r="C37" s="17">
        <f>84.5</f>
        <v>84.5</v>
      </c>
      <c r="D37" s="17">
        <v>100</v>
      </c>
      <c r="E37" s="5"/>
      <c r="F37" s="5"/>
      <c r="G37"/>
      <c r="H37"/>
      <c r="I37"/>
      <c r="J37"/>
      <c r="K37"/>
      <c r="L37"/>
      <c r="N37"/>
      <c r="O37"/>
      <c r="P37"/>
    </row>
    <row r="38" spans="1:15" s="3" customFormat="1" ht="12.75">
      <c r="A38"/>
      <c r="B38"/>
      <c r="C38"/>
      <c r="D38"/>
      <c r="E38"/>
      <c r="F38"/>
      <c r="G38"/>
      <c r="H38"/>
      <c r="I38" t="s">
        <v>36</v>
      </c>
      <c r="J38"/>
      <c r="M38"/>
      <c r="N38"/>
      <c r="O38"/>
    </row>
    <row r="39" spans="1:16" s="2" customFormat="1" ht="25.5">
      <c r="A39" s="106" t="s">
        <v>54</v>
      </c>
      <c r="B39" s="33" t="s">
        <v>61</v>
      </c>
      <c r="C39" s="33" t="str">
        <f>C3</f>
        <v>שם הסטודנט</v>
      </c>
      <c r="D39" s="33" t="str">
        <f aca="true" t="shared" si="15" ref="D39:P39">D3</f>
        <v>מגדר</v>
      </c>
      <c r="E39" s="33" t="str">
        <f t="shared" si="15"/>
        <v>מיקוד</v>
      </c>
      <c r="F39" s="33" t="str">
        <f t="shared" si="15"/>
        <v>טלפון</v>
      </c>
      <c r="G39" s="33" t="str">
        <f t="shared" si="15"/>
        <v>ציון ת. 1</v>
      </c>
      <c r="H39" s="33" t="str">
        <f t="shared" si="15"/>
        <v>ציון ת. 2</v>
      </c>
      <c r="I39" s="33" t="str">
        <f t="shared" si="15"/>
        <v>ציון ת. 3</v>
      </c>
      <c r="J39" s="33" t="str">
        <f t="shared" si="15"/>
        <v>ממוצע  תרגילים</v>
      </c>
      <c r="K39" s="33" t="str">
        <f t="shared" si="15"/>
        <v>ציון פרויקט</v>
      </c>
      <c r="L39" s="33" t="str">
        <f t="shared" si="15"/>
        <v>ציון בחינה</v>
      </c>
      <c r="M39" s="33" t="str">
        <f t="shared" si="15"/>
        <v>ציון סופי</v>
      </c>
      <c r="N39" s="33" t="str">
        <f t="shared" si="15"/>
        <v>ציון במילים</v>
      </c>
      <c r="O39" s="33" t="str">
        <f t="shared" si="15"/>
        <v>נשים מצטיינות</v>
      </c>
      <c r="P39" s="33" t="str">
        <f t="shared" si="15"/>
        <v>נשים או מצטיינים</v>
      </c>
    </row>
    <row r="40" spans="1:16" ht="12.75">
      <c r="A40" s="106"/>
      <c r="B40" s="34">
        <v>12345678</v>
      </c>
      <c r="C40" s="1" t="str">
        <f>VLOOKUP($B$40,$B$4:$P$13,2,FALSE)</f>
        <v>דניאל</v>
      </c>
      <c r="D40" s="1" t="str">
        <f>VLOOKUP($B$40,$B$4:$P$13,3,FALSE)</f>
        <v>ז</v>
      </c>
      <c r="E40" s="1">
        <f>VLOOKUP($B$40,$B$4:$P$13,4,FALSE)</f>
        <v>123</v>
      </c>
      <c r="F40" s="1">
        <f>VLOOKUP($B$40,$B$4:$P$13,5,FALSE)</f>
        <v>9877665</v>
      </c>
      <c r="G40" s="1">
        <f>VLOOKUP($B$40,$B$4:$P$13,6,FALSE)</f>
        <v>89</v>
      </c>
      <c r="H40" s="1">
        <f>VLOOKUP($B$40,$B$4:$P$13,7,FALSE)</f>
        <v>86</v>
      </c>
      <c r="I40" s="1">
        <f>VLOOKUP($B$40,$B$4:$P$13,8,FALSE)</f>
        <v>99</v>
      </c>
      <c r="J40" s="1">
        <f>VLOOKUP($B$40,$B$4:$P$13,9,FALSE)</f>
        <v>91.33333333333333</v>
      </c>
      <c r="K40" s="1">
        <f>VLOOKUP($B$40,$B$4:$P$13,10,FALSE)</f>
        <v>99</v>
      </c>
      <c r="L40" s="1">
        <f>VLOOKUP($B$40,$B$4:$P$13,11,FALSE)</f>
        <v>80</v>
      </c>
      <c r="M40" s="1">
        <f>VLOOKUP($B$40,$B$4:$P$13,12,FALSE)</f>
        <v>89</v>
      </c>
      <c r="N40" s="1" t="str">
        <f>VLOOKUP($B$40,$B$4:$P$13,13,FALSE)</f>
        <v>מצטיין</v>
      </c>
      <c r="O40" s="1">
        <f>VLOOKUP($B$40,$B$4:$P$13,14,FALSE)</f>
      </c>
      <c r="P40" s="1" t="str">
        <f>VLOOKUP($B$40,$B$4:$P$13,15,FALSE)</f>
        <v>מלגה</v>
      </c>
    </row>
  </sheetData>
  <sheetProtection/>
  <autoFilter ref="B3:Q13"/>
  <mergeCells count="6">
    <mergeCell ref="A3:A13"/>
    <mergeCell ref="A15:A25"/>
    <mergeCell ref="A27:A32"/>
    <mergeCell ref="A34:A37"/>
    <mergeCell ref="A39:A40"/>
    <mergeCell ref="A1:Q1"/>
  </mergeCells>
  <conditionalFormatting sqref="N4:N13">
    <cfRule type="cellIs" priority="3" dxfId="6" operator="equal" stopIfTrue="1">
      <formula>$B$37</formula>
    </cfRule>
    <cfRule type="cellIs" priority="4" dxfId="5" operator="equal" stopIfTrue="1">
      <formula>$B$36</formula>
    </cfRule>
    <cfRule type="cellIs" priority="5" dxfId="4" operator="equal" stopIfTrue="1">
      <formula>$B$35</formula>
    </cfRule>
  </conditionalFormatting>
  <conditionalFormatting sqref="B4:P13">
    <cfRule type="expression" priority="2" dxfId="2" stopIfTrue="1">
      <formula>$N4=$B$35</formula>
    </cfRule>
  </conditionalFormatting>
  <conditionalFormatting sqref="Q4:Q13">
    <cfRule type="expression" priority="1" dxfId="2" stopIfTrue="1">
      <formula>$N4=$B$35</formula>
    </cfRule>
  </conditionalFormatting>
  <printOptions/>
  <pageMargins left="0.7" right="0.7" top="0.75" bottom="0.75" header="0.3" footer="0.3"/>
  <pageSetup horizontalDpi="360" verticalDpi="360" orientation="portrait" paperSize="9" r:id="rId4"/>
  <headerFooter>
    <oddHeader>&amp;Cהודפס ב: &amp;D  בשעה: &amp;T</oddHeader>
    <oddFooter>&amp;Lעמוד &amp;P מתוך &amp;N&amp;Rשי שקרוב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"/>
  <sheetViews>
    <sheetView rightToLeft="1" workbookViewId="0" topLeftCell="A1">
      <selection activeCell="F34" sqref="F34"/>
    </sheetView>
  </sheetViews>
  <sheetFormatPr defaultColWidth="9.140625" defaultRowHeight="12.75"/>
  <cols>
    <col min="1" max="1" width="31.28125" style="0" bestFit="1" customWidth="1"/>
    <col min="2" max="2" width="15.421875" style="0" bestFit="1" customWidth="1"/>
  </cols>
  <sheetData>
    <row r="1" spans="1:2" ht="12.75">
      <c r="A1" s="113" t="s">
        <v>56</v>
      </c>
      <c r="B1" s="114"/>
    </row>
    <row r="2" spans="1:2" ht="12.75">
      <c r="A2" s="1" t="s">
        <v>66</v>
      </c>
      <c r="B2" s="37">
        <f ca="1">NOW()</f>
        <v>40153.7257181713</v>
      </c>
    </row>
    <row r="3" spans="1:2" ht="12.75">
      <c r="A3" s="29" t="s">
        <v>57</v>
      </c>
      <c r="B3" s="1">
        <f>STDEV(פתרון!M4:M13)</f>
        <v>15.81841402360623</v>
      </c>
    </row>
    <row r="4" spans="1:2" ht="12.75">
      <c r="A4" s="29" t="s">
        <v>58</v>
      </c>
      <c r="B4" s="1">
        <f>VAR(פתרון!M4:M13)</f>
        <v>250.22222222222223</v>
      </c>
    </row>
    <row r="5" spans="1:2" ht="12.75">
      <c r="A5" s="29" t="s">
        <v>59</v>
      </c>
      <c r="B5" s="1">
        <f>LARGE(פתרון!M4:M13,2)</f>
        <v>89</v>
      </c>
    </row>
    <row r="6" spans="1:2" ht="12.75">
      <c r="A6" s="29" t="s">
        <v>60</v>
      </c>
      <c r="B6" s="1">
        <f>SMALL(פתרון!M4:M13,3)</f>
        <v>60</v>
      </c>
    </row>
    <row r="7" spans="1:2" ht="12.75">
      <c r="A7" s="29" t="s">
        <v>62</v>
      </c>
      <c r="B7" s="1" t="str">
        <f>INDEX(פתרון!B3:Q13,MATCH(MAX(פתרון!M3:M13),פתרון!M3:M13,0),2)</f>
        <v>שחר</v>
      </c>
    </row>
    <row r="8" spans="1:2" ht="12.75">
      <c r="A8" s="29" t="s">
        <v>63</v>
      </c>
      <c r="B8" s="1" t="str">
        <f>LOOKUP(MIN(פתרון!M4:M13),פתרון!M4:M13,פתרון!C4:C13)</f>
        <v>מיכל</v>
      </c>
    </row>
    <row r="9" spans="1:2" ht="12.75">
      <c r="A9" s="29" t="s">
        <v>64</v>
      </c>
      <c r="B9" s="38" t="s">
        <v>65</v>
      </c>
    </row>
  </sheetData>
  <sheetProtection/>
  <mergeCells count="1">
    <mergeCell ref="A1:B1"/>
  </mergeCells>
  <hyperlinks>
    <hyperlink ref="B9" r:id="rId1" display="לאתר הקורס"/>
  </hyperlinks>
  <printOptions/>
  <pageMargins left="0.7" right="0.7" top="0.75" bottom="0.75" header="0.3" footer="0.3"/>
  <pageSetup horizontalDpi="300" verticalDpi="300" orientation="portrait" paperSize="9" r:id="rId4"/>
  <headerFooter>
    <oddHeader>&amp;Cהודפס ב: &amp;D  בשעה: &amp;T</oddHeader>
    <oddFooter>&amp;Lעמוד &amp;P מתוך &amp;N&amp;Rשי שקרוב</oddFooter>
  </headerFooter>
  <legacyDrawing r:id="rId3"/>
  <oleObjects>
    <oleObject progId="Word.Document.8" dvAspect="DVASPECT_ICON" shapeId="32627120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20.00390625" style="0" bestFit="1" customWidth="1"/>
    <col min="2" max="2" width="7.28125" style="0" bestFit="1" customWidth="1"/>
    <col min="3" max="3" width="6.8515625" style="0" bestFit="1" customWidth="1"/>
    <col min="4" max="4" width="7.00390625" style="0" bestFit="1" customWidth="1"/>
    <col min="5" max="5" width="20.00390625" style="0" bestFit="1" customWidth="1"/>
    <col min="6" max="6" width="5.7109375" style="0" bestFit="1" customWidth="1"/>
    <col min="7" max="7" width="6.00390625" style="0" bestFit="1" customWidth="1"/>
  </cols>
  <sheetData>
    <row r="1" ht="12.75">
      <c r="A1" t="s">
        <v>67</v>
      </c>
    </row>
    <row r="2" ht="12.75">
      <c r="A2" t="s">
        <v>68</v>
      </c>
    </row>
    <row r="3" spans="1:7" ht="12.75">
      <c r="A3" t="s">
        <v>69</v>
      </c>
      <c r="B3" t="s">
        <v>70</v>
      </c>
      <c r="D3" t="s">
        <v>71</v>
      </c>
      <c r="E3" t="s">
        <v>72</v>
      </c>
      <c r="F3" t="s">
        <v>73</v>
      </c>
      <c r="G3" t="s">
        <v>74</v>
      </c>
    </row>
    <row r="4" spans="3:7" ht="12.75">
      <c r="C4" s="39">
        <v>0.00429</v>
      </c>
      <c r="D4">
        <v>3.981</v>
      </c>
      <c r="E4" t="s">
        <v>75</v>
      </c>
      <c r="F4">
        <v>1</v>
      </c>
      <c r="G4" t="s">
        <v>76</v>
      </c>
    </row>
    <row r="5" spans="3:7" ht="12.75">
      <c r="C5" s="39">
        <v>0.00594</v>
      </c>
      <c r="D5">
        <v>5.8449</v>
      </c>
      <c r="E5" t="s">
        <v>77</v>
      </c>
      <c r="F5">
        <v>1</v>
      </c>
      <c r="G5" t="s">
        <v>78</v>
      </c>
    </row>
    <row r="6" spans="3:7" ht="12.75">
      <c r="C6" s="39">
        <v>0.01147</v>
      </c>
      <c r="D6">
        <v>4.3194</v>
      </c>
      <c r="E6" t="s">
        <v>79</v>
      </c>
      <c r="F6">
        <v>100</v>
      </c>
      <c r="G6" t="s">
        <v>80</v>
      </c>
    </row>
    <row r="7" spans="3:7" ht="12.75">
      <c r="C7" s="39">
        <v>0.01506</v>
      </c>
      <c r="D7">
        <v>5.0819</v>
      </c>
      <c r="E7" t="s">
        <v>81</v>
      </c>
      <c r="F7">
        <v>1</v>
      </c>
      <c r="G7" t="s">
        <v>82</v>
      </c>
    </row>
    <row r="8" spans="3:7" ht="12.75">
      <c r="C8" s="39">
        <v>0.00724</v>
      </c>
      <c r="D8">
        <v>2.5735</v>
      </c>
      <c r="E8" t="s">
        <v>83</v>
      </c>
      <c r="F8">
        <v>1</v>
      </c>
      <c r="G8" t="s">
        <v>76</v>
      </c>
    </row>
    <row r="9" spans="3:7" ht="12.75">
      <c r="C9" s="39">
        <v>-0.00579</v>
      </c>
      <c r="D9">
        <v>3.1236</v>
      </c>
      <c r="E9" t="s">
        <v>84</v>
      </c>
      <c r="F9">
        <v>1</v>
      </c>
      <c r="G9" t="s">
        <v>76</v>
      </c>
    </row>
    <row r="10" spans="3:7" ht="12.75">
      <c r="C10" s="39">
        <v>0.01488</v>
      </c>
      <c r="D10">
        <v>0.6822</v>
      </c>
      <c r="E10" t="s">
        <v>85</v>
      </c>
      <c r="F10">
        <v>1</v>
      </c>
      <c r="G10" t="s">
        <v>86</v>
      </c>
    </row>
    <row r="11" spans="3:7" ht="12.75">
      <c r="C11" s="39">
        <v>0.00271</v>
      </c>
      <c r="D11">
        <v>0.5557</v>
      </c>
      <c r="E11" t="s">
        <v>87</v>
      </c>
      <c r="F11">
        <v>1</v>
      </c>
      <c r="G11" t="s">
        <v>86</v>
      </c>
    </row>
    <row r="12" spans="3:7" ht="12.75">
      <c r="C12" s="39">
        <v>0.01038</v>
      </c>
      <c r="D12">
        <v>0.3892</v>
      </c>
      <c r="E12" t="s">
        <v>88</v>
      </c>
      <c r="F12">
        <v>1</v>
      </c>
      <c r="G12" t="s">
        <v>89</v>
      </c>
    </row>
    <row r="13" spans="3:7" ht="12.75">
      <c r="C13" s="39">
        <v>0.01284</v>
      </c>
      <c r="D13">
        <v>0.481</v>
      </c>
      <c r="E13" t="s">
        <v>90</v>
      </c>
      <c r="F13">
        <v>1</v>
      </c>
      <c r="G13" t="s">
        <v>86</v>
      </c>
    </row>
    <row r="14" spans="3:7" ht="12.75">
      <c r="C14" s="39">
        <v>0.01566</v>
      </c>
      <c r="D14">
        <v>3.3134</v>
      </c>
      <c r="E14" t="s">
        <v>91</v>
      </c>
      <c r="F14">
        <v>1</v>
      </c>
      <c r="G14" t="s">
        <v>92</v>
      </c>
    </row>
    <row r="15" spans="3:7" ht="12.75">
      <c r="C15" s="39">
        <v>0.00422</v>
      </c>
      <c r="D15">
        <v>5.6185</v>
      </c>
      <c r="E15" t="s">
        <v>93</v>
      </c>
      <c r="F15">
        <v>1</v>
      </c>
      <c r="G15" t="s">
        <v>94</v>
      </c>
    </row>
    <row r="16" spans="3:7" ht="12.75">
      <c r="C16" s="39">
        <v>0.0038</v>
      </c>
      <c r="D16">
        <v>0.0264</v>
      </c>
      <c r="E16" t="s">
        <v>95</v>
      </c>
      <c r="F16">
        <v>10</v>
      </c>
      <c r="G16" t="s">
        <v>96</v>
      </c>
    </row>
    <row r="17" spans="3:7" ht="12.75">
      <c r="C17" s="39">
        <v>0.00488</v>
      </c>
      <c r="D17">
        <v>0.7209</v>
      </c>
      <c r="E17" t="s">
        <v>97</v>
      </c>
      <c r="F17">
        <v>1</v>
      </c>
      <c r="G17" t="s">
        <v>96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1"/>
  <sheetViews>
    <sheetView rightToLeft="1" zoomScalePageLayoutView="0" workbookViewId="0" topLeftCell="A1">
      <selection activeCell="A1" sqref="A1:H1"/>
    </sheetView>
  </sheetViews>
  <sheetFormatPr defaultColWidth="9.140625" defaultRowHeight="12.75"/>
  <cols>
    <col min="1" max="1" width="24.00390625" style="0" bestFit="1" customWidth="1"/>
    <col min="2" max="2" width="10.28125" style="0" bestFit="1" customWidth="1"/>
    <col min="3" max="3" width="8.57421875" style="0" bestFit="1" customWidth="1"/>
    <col min="4" max="4" width="5.7109375" style="0" bestFit="1" customWidth="1"/>
    <col min="5" max="5" width="8.421875" style="0" bestFit="1" customWidth="1"/>
    <col min="6" max="6" width="10.140625" style="0" bestFit="1" customWidth="1"/>
    <col min="7" max="7" width="7.28125" style="0" bestFit="1" customWidth="1"/>
    <col min="8" max="8" width="8.8515625" style="0" bestFit="1" customWidth="1"/>
  </cols>
  <sheetData>
    <row r="1" spans="1:8" ht="19.5" thickTop="1">
      <c r="A1" s="115" t="s">
        <v>98</v>
      </c>
      <c r="B1" s="116"/>
      <c r="C1" s="116"/>
      <c r="D1" s="116"/>
      <c r="E1" s="116"/>
      <c r="F1" s="116"/>
      <c r="G1" s="116"/>
      <c r="H1" s="117"/>
    </row>
    <row r="2" spans="1:8" ht="63.75">
      <c r="A2" s="40" t="s">
        <v>99</v>
      </c>
      <c r="B2" s="41" t="s">
        <v>100</v>
      </c>
      <c r="C2" s="41" t="s">
        <v>101</v>
      </c>
      <c r="D2" s="41" t="s">
        <v>102</v>
      </c>
      <c r="E2" s="41" t="s">
        <v>103</v>
      </c>
      <c r="F2" s="41" t="s">
        <v>104</v>
      </c>
      <c r="G2" s="41" t="s">
        <v>105</v>
      </c>
      <c r="H2" s="42" t="s">
        <v>106</v>
      </c>
    </row>
    <row r="3" spans="1:8" ht="12.75">
      <c r="A3" s="43" t="s">
        <v>107</v>
      </c>
      <c r="B3" s="44" t="s">
        <v>108</v>
      </c>
      <c r="C3" s="45">
        <v>650</v>
      </c>
      <c r="D3" s="46">
        <v>18</v>
      </c>
      <c r="E3" s="45">
        <f aca="true" t="shared" si="0" ref="E3:E17">C3*D3</f>
        <v>11700</v>
      </c>
      <c r="F3" s="47">
        <f aca="true" t="shared" si="1" ref="F3:F17">IF(D3&gt;=$B$40,$B$41,"")</f>
      </c>
      <c r="G3" s="48"/>
      <c r="H3" s="49">
        <f aca="true" t="shared" si="2" ref="H3:H17">C3*(1-G3)*(1+$B$37)</f>
        <v>757.25</v>
      </c>
    </row>
    <row r="4" spans="1:8" ht="12.75">
      <c r="A4" s="43" t="s">
        <v>109</v>
      </c>
      <c r="B4" s="44" t="s">
        <v>110</v>
      </c>
      <c r="C4" s="45">
        <v>550</v>
      </c>
      <c r="D4" s="46">
        <v>38</v>
      </c>
      <c r="E4" s="45">
        <f t="shared" si="0"/>
        <v>20900</v>
      </c>
      <c r="F4" s="47">
        <f t="shared" si="1"/>
      </c>
      <c r="G4" s="48"/>
      <c r="H4" s="49">
        <f t="shared" si="2"/>
        <v>640.75</v>
      </c>
    </row>
    <row r="5" spans="1:8" ht="12.75">
      <c r="A5" s="43" t="s">
        <v>111</v>
      </c>
      <c r="B5" s="44" t="s">
        <v>112</v>
      </c>
      <c r="C5" s="45">
        <v>450</v>
      </c>
      <c r="D5" s="46">
        <v>58</v>
      </c>
      <c r="E5" s="45">
        <f t="shared" si="0"/>
        <v>26100</v>
      </c>
      <c r="F5" s="47" t="str">
        <f t="shared" si="1"/>
        <v>מוצר מועדף</v>
      </c>
      <c r="G5" s="48"/>
      <c r="H5" s="49">
        <f t="shared" si="2"/>
        <v>524.25</v>
      </c>
    </row>
    <row r="6" spans="1:8" ht="12.75">
      <c r="A6" s="43" t="s">
        <v>132</v>
      </c>
      <c r="B6" s="44" t="s">
        <v>113</v>
      </c>
      <c r="C6" s="45">
        <v>350</v>
      </c>
      <c r="D6" s="46">
        <v>78</v>
      </c>
      <c r="E6" s="45">
        <f t="shared" si="0"/>
        <v>27300</v>
      </c>
      <c r="F6" s="47" t="str">
        <f t="shared" si="1"/>
        <v>מוצר מועדף</v>
      </c>
      <c r="G6" s="48"/>
      <c r="H6" s="49">
        <f t="shared" si="2"/>
        <v>407.75</v>
      </c>
    </row>
    <row r="7" spans="1:8" ht="12.75">
      <c r="A7" s="91" t="s">
        <v>133</v>
      </c>
      <c r="B7" s="92" t="s">
        <v>108</v>
      </c>
      <c r="C7" s="93">
        <v>300</v>
      </c>
      <c r="D7" s="94">
        <v>98</v>
      </c>
      <c r="E7" s="93">
        <f t="shared" si="0"/>
        <v>29400</v>
      </c>
      <c r="F7" s="95" t="str">
        <f t="shared" si="1"/>
        <v>מוצר מועדף</v>
      </c>
      <c r="G7" s="96"/>
      <c r="H7" s="97">
        <f t="shared" si="2"/>
        <v>349.5</v>
      </c>
    </row>
    <row r="8" spans="1:8" ht="12.75">
      <c r="A8" s="43" t="s">
        <v>130</v>
      </c>
      <c r="B8" s="44" t="s">
        <v>108</v>
      </c>
      <c r="C8" s="45">
        <v>650</v>
      </c>
      <c r="D8" s="46">
        <v>18</v>
      </c>
      <c r="E8" s="45">
        <f t="shared" si="0"/>
        <v>11700</v>
      </c>
      <c r="F8" s="47">
        <f t="shared" si="1"/>
      </c>
      <c r="G8" s="48"/>
      <c r="H8" s="49">
        <f t="shared" si="2"/>
        <v>757.25</v>
      </c>
    </row>
    <row r="9" spans="1:8" ht="12.75">
      <c r="A9" s="43" t="s">
        <v>131</v>
      </c>
      <c r="B9" s="44" t="s">
        <v>110</v>
      </c>
      <c r="C9" s="45">
        <v>550</v>
      </c>
      <c r="D9" s="46">
        <v>38</v>
      </c>
      <c r="E9" s="45">
        <f t="shared" si="0"/>
        <v>20900</v>
      </c>
      <c r="F9" s="47">
        <f t="shared" si="1"/>
      </c>
      <c r="G9" s="48"/>
      <c r="H9" s="49">
        <f t="shared" si="2"/>
        <v>640.75</v>
      </c>
    </row>
    <row r="10" spans="1:8" ht="12.75">
      <c r="A10" s="43" t="s">
        <v>111</v>
      </c>
      <c r="B10" s="44" t="s">
        <v>112</v>
      </c>
      <c r="C10" s="45">
        <v>450</v>
      </c>
      <c r="D10" s="46">
        <v>58</v>
      </c>
      <c r="E10" s="45">
        <f t="shared" si="0"/>
        <v>26100</v>
      </c>
      <c r="F10" s="47" t="str">
        <f t="shared" si="1"/>
        <v>מוצר מועדף</v>
      </c>
      <c r="G10" s="48"/>
      <c r="H10" s="49">
        <f t="shared" si="2"/>
        <v>524.25</v>
      </c>
    </row>
    <row r="11" spans="1:8" ht="12.75">
      <c r="A11" s="43" t="s">
        <v>134</v>
      </c>
      <c r="B11" s="44" t="s">
        <v>113</v>
      </c>
      <c r="C11" s="45">
        <v>350</v>
      </c>
      <c r="D11" s="46">
        <v>78</v>
      </c>
      <c r="E11" s="45">
        <f t="shared" si="0"/>
        <v>27300</v>
      </c>
      <c r="F11" s="47" t="str">
        <f t="shared" si="1"/>
        <v>מוצר מועדף</v>
      </c>
      <c r="G11" s="48"/>
      <c r="H11" s="49">
        <f t="shared" si="2"/>
        <v>407.75</v>
      </c>
    </row>
    <row r="12" spans="1:8" ht="12.75">
      <c r="A12" s="91" t="s">
        <v>135</v>
      </c>
      <c r="B12" s="92" t="s">
        <v>108</v>
      </c>
      <c r="C12" s="93">
        <v>300</v>
      </c>
      <c r="D12" s="94">
        <v>98</v>
      </c>
      <c r="E12" s="93">
        <f t="shared" si="0"/>
        <v>29400</v>
      </c>
      <c r="F12" s="95" t="str">
        <f t="shared" si="1"/>
        <v>מוצר מועדף</v>
      </c>
      <c r="G12" s="96"/>
      <c r="H12" s="97">
        <f t="shared" si="2"/>
        <v>349.5</v>
      </c>
    </row>
    <row r="13" spans="1:8" ht="12.75">
      <c r="A13" s="91" t="s">
        <v>136</v>
      </c>
      <c r="B13" s="92" t="s">
        <v>108</v>
      </c>
      <c r="C13" s="93">
        <v>650</v>
      </c>
      <c r="D13" s="94">
        <v>18</v>
      </c>
      <c r="E13" s="93">
        <f t="shared" si="0"/>
        <v>11700</v>
      </c>
      <c r="F13" s="95">
        <f t="shared" si="1"/>
      </c>
      <c r="G13" s="96"/>
      <c r="H13" s="97">
        <f t="shared" si="2"/>
        <v>757.25</v>
      </c>
    </row>
    <row r="14" spans="1:8" ht="12.75">
      <c r="A14" s="91" t="s">
        <v>137</v>
      </c>
      <c r="B14" s="92" t="s">
        <v>110</v>
      </c>
      <c r="C14" s="93">
        <v>550</v>
      </c>
      <c r="D14" s="94">
        <v>38</v>
      </c>
      <c r="E14" s="93">
        <f t="shared" si="0"/>
        <v>20900</v>
      </c>
      <c r="F14" s="95">
        <f t="shared" si="1"/>
      </c>
      <c r="G14" s="96"/>
      <c r="H14" s="97">
        <f t="shared" si="2"/>
        <v>640.75</v>
      </c>
    </row>
    <row r="15" spans="1:8" ht="12.75">
      <c r="A15" s="91" t="s">
        <v>138</v>
      </c>
      <c r="B15" s="92" t="s">
        <v>112</v>
      </c>
      <c r="C15" s="93">
        <v>450</v>
      </c>
      <c r="D15" s="94">
        <v>58</v>
      </c>
      <c r="E15" s="93">
        <f t="shared" si="0"/>
        <v>26100</v>
      </c>
      <c r="F15" s="95" t="str">
        <f t="shared" si="1"/>
        <v>מוצר מועדף</v>
      </c>
      <c r="G15" s="96"/>
      <c r="H15" s="97">
        <f t="shared" si="2"/>
        <v>524.25</v>
      </c>
    </row>
    <row r="16" spans="1:8" ht="12.75">
      <c r="A16" s="91" t="s">
        <v>139</v>
      </c>
      <c r="B16" s="92" t="s">
        <v>113</v>
      </c>
      <c r="C16" s="93">
        <v>350</v>
      </c>
      <c r="D16" s="94">
        <v>78</v>
      </c>
      <c r="E16" s="93">
        <f t="shared" si="0"/>
        <v>27300</v>
      </c>
      <c r="F16" s="95" t="str">
        <f t="shared" si="1"/>
        <v>מוצר מועדף</v>
      </c>
      <c r="G16" s="96"/>
      <c r="H16" s="97">
        <f t="shared" si="2"/>
        <v>407.75</v>
      </c>
    </row>
    <row r="17" spans="1:8" ht="13.5" thickBot="1">
      <c r="A17" s="50" t="s">
        <v>140</v>
      </c>
      <c r="B17" s="51" t="s">
        <v>108</v>
      </c>
      <c r="C17" s="52">
        <v>300</v>
      </c>
      <c r="D17" s="53">
        <v>98</v>
      </c>
      <c r="E17" s="52">
        <f t="shared" si="0"/>
        <v>29400</v>
      </c>
      <c r="F17" s="54" t="str">
        <f t="shared" si="1"/>
        <v>מוצר מועדף</v>
      </c>
      <c r="G17" s="55"/>
      <c r="H17" s="56">
        <f t="shared" si="2"/>
        <v>349.5</v>
      </c>
    </row>
    <row r="18" spans="1:8" ht="14.25" thickBot="1" thickTop="1">
      <c r="A18" s="57"/>
      <c r="B18" s="57"/>
      <c r="C18" s="57"/>
      <c r="D18" s="57"/>
      <c r="E18" s="57"/>
      <c r="F18" s="57"/>
      <c r="G18" s="57"/>
      <c r="H18" s="57"/>
    </row>
    <row r="19" spans="1:8" ht="13.5" thickTop="1">
      <c r="A19" s="58" t="s">
        <v>114</v>
      </c>
      <c r="B19" s="59"/>
      <c r="C19" s="60">
        <f>AVERAGE(C3:C17)</f>
        <v>460</v>
      </c>
      <c r="D19" s="61">
        <f>AVERAGE(D3:D17)</f>
        <v>58</v>
      </c>
      <c r="E19" s="60">
        <f>AVERAGE(E3:E17)</f>
        <v>23080</v>
      </c>
      <c r="F19" s="62"/>
      <c r="G19" s="63" t="e">
        <f>AVERAGE(G3:G17)</f>
        <v>#DIV/0!</v>
      </c>
      <c r="H19" s="64">
        <f>AVERAGE(H3:H17)</f>
        <v>535.9</v>
      </c>
    </row>
    <row r="20" spans="1:8" ht="12.75">
      <c r="A20" s="65" t="s">
        <v>24</v>
      </c>
      <c r="B20" s="66"/>
      <c r="C20" s="67">
        <f>MIN(C3:C17)</f>
        <v>300</v>
      </c>
      <c r="D20" s="68">
        <f>MIN(D3:D17)</f>
        <v>18</v>
      </c>
      <c r="E20" s="67">
        <f>MIN(E3:E17)</f>
        <v>11700</v>
      </c>
      <c r="F20" s="69"/>
      <c r="G20" s="70">
        <f>MIN(G3:G17)</f>
        <v>0</v>
      </c>
      <c r="H20" s="71">
        <f>MIN(H3:H17)</f>
        <v>349.5</v>
      </c>
    </row>
    <row r="21" spans="1:8" ht="12.75">
      <c r="A21" s="65" t="s">
        <v>23</v>
      </c>
      <c r="B21" s="66"/>
      <c r="C21" s="67">
        <f>MAX(C3:C17)</f>
        <v>650</v>
      </c>
      <c r="D21" s="68">
        <f>MAX(D3:D17)</f>
        <v>98</v>
      </c>
      <c r="E21" s="67">
        <f>MAX(E3:E17)</f>
        <v>29400</v>
      </c>
      <c r="F21" s="69"/>
      <c r="G21" s="70">
        <f>MAX(G3:G17)</f>
        <v>0</v>
      </c>
      <c r="H21" s="71">
        <f>MAX(H3:H17)</f>
        <v>757.25</v>
      </c>
    </row>
    <row r="22" spans="1:8" ht="13.5" thickBot="1">
      <c r="A22" s="72" t="s">
        <v>115</v>
      </c>
      <c r="B22" s="73"/>
      <c r="C22" s="51" t="s">
        <v>108</v>
      </c>
      <c r="D22" s="74">
        <f>SUMIF(B3:B17,C22,D3:D17)</f>
        <v>348</v>
      </c>
      <c r="E22" s="75"/>
      <c r="F22" s="75"/>
      <c r="G22" s="76"/>
      <c r="H22" s="77"/>
    </row>
    <row r="23" spans="3:8" ht="14.25" thickBot="1" thickTop="1">
      <c r="C23" s="57"/>
      <c r="D23" s="57"/>
      <c r="E23" s="57"/>
      <c r="F23" s="57"/>
      <c r="G23" s="57"/>
      <c r="H23" s="57"/>
    </row>
    <row r="24" spans="1:8" ht="13.5" thickTop="1">
      <c r="A24" s="78" t="s">
        <v>116</v>
      </c>
      <c r="B24" s="79" t="s">
        <v>117</v>
      </c>
      <c r="C24" s="80"/>
      <c r="D24" s="80"/>
      <c r="E24" s="80"/>
      <c r="F24" s="80"/>
      <c r="G24" s="80"/>
      <c r="H24" s="80"/>
    </row>
    <row r="25" spans="1:8" ht="12.75">
      <c r="A25" s="43" t="s">
        <v>118</v>
      </c>
      <c r="B25" s="81">
        <v>0.05</v>
      </c>
      <c r="C25" s="57"/>
      <c r="D25" s="57"/>
      <c r="E25" s="57"/>
      <c r="F25" s="57"/>
      <c r="G25" s="57"/>
      <c r="H25" s="57"/>
    </row>
    <row r="26" spans="1:8" ht="12.75">
      <c r="A26" s="82" t="s">
        <v>108</v>
      </c>
      <c r="B26" s="81">
        <v>0.1</v>
      </c>
      <c r="C26" s="57"/>
      <c r="D26" s="57"/>
      <c r="E26" s="57"/>
      <c r="F26" s="57"/>
      <c r="G26" s="57"/>
      <c r="H26" s="57"/>
    </row>
    <row r="27" spans="1:8" ht="12.75">
      <c r="A27" s="82" t="s">
        <v>110</v>
      </c>
      <c r="B27" s="81">
        <v>0.15</v>
      </c>
      <c r="C27" s="57"/>
      <c r="D27" s="57"/>
      <c r="E27" s="57"/>
      <c r="F27" s="57"/>
      <c r="G27" s="57"/>
      <c r="H27" s="57"/>
    </row>
    <row r="28" spans="1:8" ht="12.75">
      <c r="A28" s="82" t="s">
        <v>113</v>
      </c>
      <c r="B28" s="81">
        <v>0.2</v>
      </c>
      <c r="C28" s="57"/>
      <c r="D28" s="57"/>
      <c r="E28" s="57"/>
      <c r="F28" s="57"/>
      <c r="G28" s="57"/>
      <c r="H28" s="57"/>
    </row>
    <row r="29" spans="1:8" ht="12.75">
      <c r="A29" s="43" t="s">
        <v>119</v>
      </c>
      <c r="B29" s="81">
        <v>0.25</v>
      </c>
      <c r="C29" s="57"/>
      <c r="D29" s="57"/>
      <c r="E29" s="57"/>
      <c r="F29" s="57"/>
      <c r="G29" s="57"/>
      <c r="H29" s="57"/>
    </row>
    <row r="30" spans="1:8" ht="12.75">
      <c r="A30" s="43" t="s">
        <v>120</v>
      </c>
      <c r="B30" s="81">
        <v>0.3</v>
      </c>
      <c r="C30" s="57"/>
      <c r="D30" s="57"/>
      <c r="E30" s="57"/>
      <c r="F30" s="57"/>
      <c r="G30" s="57"/>
      <c r="H30" s="57"/>
    </row>
    <row r="31" spans="1:8" ht="12.75">
      <c r="A31" s="82" t="s">
        <v>121</v>
      </c>
      <c r="B31" s="81">
        <v>0.35</v>
      </c>
      <c r="C31" s="57"/>
      <c r="D31" s="57"/>
      <c r="E31" s="57"/>
      <c r="F31" s="57"/>
      <c r="G31" s="57"/>
      <c r="H31" s="57"/>
    </row>
    <row r="32" spans="1:8" ht="12.75">
      <c r="A32" s="82" t="s">
        <v>122</v>
      </c>
      <c r="B32" s="81">
        <v>0.4</v>
      </c>
      <c r="C32" s="57"/>
      <c r="D32" s="57"/>
      <c r="E32" s="57"/>
      <c r="F32" s="57"/>
      <c r="G32" s="57"/>
      <c r="H32" s="57"/>
    </row>
    <row r="33" spans="1:8" ht="12.75">
      <c r="A33" s="43" t="s">
        <v>112</v>
      </c>
      <c r="B33" s="81">
        <v>0.45</v>
      </c>
      <c r="C33" s="57"/>
      <c r="D33" s="57"/>
      <c r="E33" s="57"/>
      <c r="F33" s="57"/>
      <c r="G33" s="57"/>
      <c r="H33" s="57"/>
    </row>
    <row r="34" spans="1:8" ht="13.5" thickBot="1">
      <c r="A34" s="50" t="s">
        <v>123</v>
      </c>
      <c r="B34" s="83">
        <v>0.5</v>
      </c>
      <c r="C34" s="57"/>
      <c r="D34" s="57"/>
      <c r="E34" s="57"/>
      <c r="F34" s="57"/>
      <c r="G34" s="57"/>
      <c r="H34" s="57"/>
    </row>
    <row r="35" spans="1:8" ht="14.25" thickBot="1" thickTop="1">
      <c r="A35" s="57"/>
      <c r="B35" s="57"/>
      <c r="C35" s="57"/>
      <c r="D35" s="57"/>
      <c r="E35" s="57"/>
      <c r="F35" s="57"/>
      <c r="G35" s="57"/>
      <c r="H35" s="57"/>
    </row>
    <row r="36" spans="1:8" ht="13.5" thickTop="1">
      <c r="A36" s="118" t="s">
        <v>124</v>
      </c>
      <c r="B36" s="119"/>
      <c r="C36" s="84"/>
      <c r="D36" s="84"/>
      <c r="E36" s="84"/>
      <c r="F36" s="84"/>
      <c r="G36" s="84"/>
      <c r="H36" s="84"/>
    </row>
    <row r="37" spans="1:2" ht="12.75">
      <c r="A37" s="85" t="s">
        <v>125</v>
      </c>
      <c r="B37" s="86">
        <v>0.165</v>
      </c>
    </row>
    <row r="38" spans="1:2" ht="12.75">
      <c r="A38" s="85"/>
      <c r="B38" s="87"/>
    </row>
    <row r="39" spans="1:2" ht="12.75">
      <c r="A39" s="120" t="s">
        <v>126</v>
      </c>
      <c r="B39" s="121"/>
    </row>
    <row r="40" spans="1:2" ht="12.75">
      <c r="A40" s="85" t="s">
        <v>127</v>
      </c>
      <c r="B40" s="88">
        <v>40</v>
      </c>
    </row>
    <row r="41" spans="1:2" ht="13.5" thickBot="1">
      <c r="A41" s="89" t="s">
        <v>128</v>
      </c>
      <c r="B41" s="90" t="s">
        <v>129</v>
      </c>
    </row>
    <row r="42" ht="13.5" thickTop="1"/>
  </sheetData>
  <sheetProtection/>
  <mergeCells count="3">
    <mergeCell ref="A1:H1"/>
    <mergeCell ref="A36:B36"/>
    <mergeCell ref="A39:B39"/>
  </mergeCells>
  <conditionalFormatting sqref="F3:F17">
    <cfRule type="cellIs" priority="1" dxfId="0" operator="equal">
      <formula>$B$41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6"/>
  <sheetViews>
    <sheetView rightToLeft="1" zoomScalePageLayoutView="0" workbookViewId="0" topLeftCell="A1">
      <selection activeCell="A1" sqref="A1:H1"/>
    </sheetView>
  </sheetViews>
  <sheetFormatPr defaultColWidth="9.140625" defaultRowHeight="12.75" outlineLevelRow="2"/>
  <cols>
    <col min="1" max="1" width="24.00390625" style="0" bestFit="1" customWidth="1"/>
    <col min="2" max="2" width="10.28125" style="0" bestFit="1" customWidth="1"/>
    <col min="3" max="3" width="8.57421875" style="0" bestFit="1" customWidth="1"/>
    <col min="4" max="4" width="5.7109375" style="0" bestFit="1" customWidth="1"/>
    <col min="5" max="5" width="9.421875" style="0" bestFit="1" customWidth="1"/>
    <col min="6" max="6" width="10.140625" style="0" bestFit="1" customWidth="1"/>
    <col min="7" max="7" width="7.28125" style="0" bestFit="1" customWidth="1"/>
    <col min="8" max="8" width="8.8515625" style="0" bestFit="1" customWidth="1"/>
  </cols>
  <sheetData>
    <row r="1" spans="1:8" ht="19.5" thickTop="1">
      <c r="A1" s="115" t="s">
        <v>98</v>
      </c>
      <c r="B1" s="116"/>
      <c r="C1" s="116"/>
      <c r="D1" s="116"/>
      <c r="E1" s="116"/>
      <c r="F1" s="116"/>
      <c r="G1" s="116"/>
      <c r="H1" s="117"/>
    </row>
    <row r="2" spans="1:8" ht="63.75">
      <c r="A2" s="40" t="s">
        <v>99</v>
      </c>
      <c r="B2" s="41" t="s">
        <v>100</v>
      </c>
      <c r="C2" s="41" t="s">
        <v>101</v>
      </c>
      <c r="D2" s="41" t="s">
        <v>102</v>
      </c>
      <c r="E2" s="41" t="s">
        <v>103</v>
      </c>
      <c r="F2" s="41" t="s">
        <v>104</v>
      </c>
      <c r="G2" s="41" t="s">
        <v>105</v>
      </c>
      <c r="H2" s="42" t="s">
        <v>106</v>
      </c>
    </row>
    <row r="3" spans="1:8" ht="12.75" outlineLevel="2">
      <c r="A3" s="43" t="s">
        <v>111</v>
      </c>
      <c r="B3" s="44" t="s">
        <v>112</v>
      </c>
      <c r="C3" s="45">
        <v>450</v>
      </c>
      <c r="D3" s="46">
        <v>58</v>
      </c>
      <c r="E3" s="45">
        <f>C3*D3</f>
        <v>26100</v>
      </c>
      <c r="F3" s="47" t="str">
        <f>IF(D3&gt;=$B$45,$B$46,"")</f>
        <v>מוצר מועדף</v>
      </c>
      <c r="G3" s="48">
        <f>VLOOKUP(B3,$A$29:$B$39,2,0)</f>
        <v>0.45</v>
      </c>
      <c r="H3" s="49">
        <f>C3*(1-G3)*(1+$B$42)</f>
        <v>288.33750000000003</v>
      </c>
    </row>
    <row r="4" spans="1:8" ht="12.75" outlineLevel="2">
      <c r="A4" s="43" t="s">
        <v>111</v>
      </c>
      <c r="B4" s="44" t="s">
        <v>112</v>
      </c>
      <c r="C4" s="45">
        <v>450</v>
      </c>
      <c r="D4" s="46">
        <v>58</v>
      </c>
      <c r="E4" s="45">
        <f>C4*D4</f>
        <v>26100</v>
      </c>
      <c r="F4" s="47" t="str">
        <f>IF(D4&gt;=$B$45,$B$46,"")</f>
        <v>מוצר מועדף</v>
      </c>
      <c r="G4" s="48">
        <f>VLOOKUP(B4,$A$29:$B$39,2,0)</f>
        <v>0.45</v>
      </c>
      <c r="H4" s="49">
        <f>C4*(1-G4)*(1+$B$42)</f>
        <v>288.33750000000003</v>
      </c>
    </row>
    <row r="5" spans="1:8" ht="12.75" outlineLevel="2">
      <c r="A5" s="43" t="s">
        <v>138</v>
      </c>
      <c r="B5" s="44" t="s">
        <v>112</v>
      </c>
      <c r="C5" s="45">
        <v>450</v>
      </c>
      <c r="D5" s="46">
        <v>58</v>
      </c>
      <c r="E5" s="45">
        <f>C5*D5</f>
        <v>26100</v>
      </c>
      <c r="F5" s="47" t="str">
        <f>IF(D5&gt;=$B$45,$B$46,"")</f>
        <v>מוצר מועדף</v>
      </c>
      <c r="G5" s="48">
        <f>VLOOKUP(B5,$A$29:$B$39,2,0)</f>
        <v>0.45</v>
      </c>
      <c r="H5" s="49">
        <f>C5*(1-G5)*(1+$B$42)</f>
        <v>288.33750000000003</v>
      </c>
    </row>
    <row r="6" spans="1:8" ht="12.75" outlineLevel="1">
      <c r="A6" s="43"/>
      <c r="B6" s="98" t="s">
        <v>141</v>
      </c>
      <c r="C6" s="45"/>
      <c r="D6" s="46">
        <f>SUBTOTAL(9,D3:D5)</f>
        <v>174</v>
      </c>
      <c r="E6" s="45">
        <f>SUBTOTAL(9,E3:E5)</f>
        <v>78300</v>
      </c>
      <c r="F6" s="47"/>
      <c r="G6" s="48"/>
      <c r="H6" s="49"/>
    </row>
    <row r="7" spans="1:8" ht="12.75" outlineLevel="2">
      <c r="A7" s="43" t="s">
        <v>132</v>
      </c>
      <c r="B7" s="44" t="s">
        <v>113</v>
      </c>
      <c r="C7" s="45">
        <v>350</v>
      </c>
      <c r="D7" s="46">
        <v>78</v>
      </c>
      <c r="E7" s="45">
        <f>C7*D7</f>
        <v>27300</v>
      </c>
      <c r="F7" s="47" t="str">
        <f>IF(D7&gt;=$B$45,$B$46,"")</f>
        <v>מוצר מועדף</v>
      </c>
      <c r="G7" s="48">
        <f>VLOOKUP(B7,$A$29:$B$39,2,0)</f>
        <v>0.2</v>
      </c>
      <c r="H7" s="49">
        <f>C7*(1-G7)*(1+$B$42)</f>
        <v>326.2</v>
      </c>
    </row>
    <row r="8" spans="1:8" ht="12.75" outlineLevel="2">
      <c r="A8" s="91" t="s">
        <v>134</v>
      </c>
      <c r="B8" s="92" t="s">
        <v>113</v>
      </c>
      <c r="C8" s="93">
        <v>350</v>
      </c>
      <c r="D8" s="94">
        <v>78</v>
      </c>
      <c r="E8" s="93">
        <f>C8*D8</f>
        <v>27300</v>
      </c>
      <c r="F8" s="95" t="str">
        <f>IF(D8&gt;=$B$45,$B$46,"")</f>
        <v>מוצר מועדף</v>
      </c>
      <c r="G8" s="96">
        <f>VLOOKUP(B8,$A$29:$B$39,2,0)</f>
        <v>0.2</v>
      </c>
      <c r="H8" s="97">
        <f>C8*(1-G8)*(1+$B$42)</f>
        <v>326.2</v>
      </c>
    </row>
    <row r="9" spans="1:8" ht="12.75" outlineLevel="2">
      <c r="A9" s="43" t="s">
        <v>139</v>
      </c>
      <c r="B9" s="44" t="s">
        <v>113</v>
      </c>
      <c r="C9" s="45">
        <v>350</v>
      </c>
      <c r="D9" s="46">
        <v>78</v>
      </c>
      <c r="E9" s="45">
        <f>C9*D9</f>
        <v>27300</v>
      </c>
      <c r="F9" s="47" t="str">
        <f>IF(D9&gt;=$B$45,$B$46,"")</f>
        <v>מוצר מועדף</v>
      </c>
      <c r="G9" s="48">
        <f>VLOOKUP(B9,$A$29:$B$39,2,0)</f>
        <v>0.2</v>
      </c>
      <c r="H9" s="49">
        <f>C9*(1-G9)*(1+$B$42)</f>
        <v>326.2</v>
      </c>
    </row>
    <row r="10" spans="1:8" ht="12.75" outlineLevel="1">
      <c r="A10" s="43"/>
      <c r="B10" s="98" t="s">
        <v>142</v>
      </c>
      <c r="C10" s="45"/>
      <c r="D10" s="46">
        <f>SUBTOTAL(9,D7:D9)</f>
        <v>234</v>
      </c>
      <c r="E10" s="45">
        <f>SUBTOTAL(9,E7:E9)</f>
        <v>81900</v>
      </c>
      <c r="F10" s="47"/>
      <c r="G10" s="48"/>
      <c r="H10" s="49"/>
    </row>
    <row r="11" spans="1:8" ht="12.75" outlineLevel="2">
      <c r="A11" s="43" t="s">
        <v>109</v>
      </c>
      <c r="B11" s="44" t="s">
        <v>110</v>
      </c>
      <c r="C11" s="45">
        <v>550</v>
      </c>
      <c r="D11" s="46">
        <v>38</v>
      </c>
      <c r="E11" s="45">
        <f>C11*D11</f>
        <v>20900</v>
      </c>
      <c r="F11" s="47">
        <f>IF(D11&gt;=$B$45,$B$46,"")</f>
      </c>
      <c r="G11" s="48">
        <f>VLOOKUP(B11,$A$29:$B$39,2,0)</f>
        <v>0.15</v>
      </c>
      <c r="H11" s="49">
        <f>C11*(1-G11)*(1+$B$42)</f>
        <v>544.6375</v>
      </c>
    </row>
    <row r="12" spans="1:8" ht="12.75" outlineLevel="2">
      <c r="A12" s="43" t="s">
        <v>131</v>
      </c>
      <c r="B12" s="44" t="s">
        <v>110</v>
      </c>
      <c r="C12" s="45">
        <v>550</v>
      </c>
      <c r="D12" s="46">
        <v>38</v>
      </c>
      <c r="E12" s="45">
        <f>C12*D12</f>
        <v>20900</v>
      </c>
      <c r="F12" s="47">
        <f>IF(D12&gt;=$B$45,$B$46,"")</f>
      </c>
      <c r="G12" s="48">
        <f>VLOOKUP(B12,$A$29:$B$39,2,0)</f>
        <v>0.15</v>
      </c>
      <c r="H12" s="49">
        <f>C12*(1-G12)*(1+$B$42)</f>
        <v>544.6375</v>
      </c>
    </row>
    <row r="13" spans="1:8" ht="12.75" outlineLevel="2">
      <c r="A13" s="43" t="s">
        <v>137</v>
      </c>
      <c r="B13" s="44" t="s">
        <v>110</v>
      </c>
      <c r="C13" s="45">
        <v>550</v>
      </c>
      <c r="D13" s="46">
        <v>38</v>
      </c>
      <c r="E13" s="45">
        <f>C13*D13</f>
        <v>20900</v>
      </c>
      <c r="F13" s="47">
        <f>IF(D13&gt;=$B$45,$B$46,"")</f>
      </c>
      <c r="G13" s="48">
        <f>VLOOKUP(B13,$A$29:$B$39,2,0)</f>
        <v>0.15</v>
      </c>
      <c r="H13" s="49">
        <f>C13*(1-G13)*(1+$B$42)</f>
        <v>544.6375</v>
      </c>
    </row>
    <row r="14" spans="1:8" ht="12.75" outlineLevel="1">
      <c r="A14" s="91"/>
      <c r="B14" s="99" t="s">
        <v>143</v>
      </c>
      <c r="C14" s="93"/>
      <c r="D14" s="94">
        <f>SUBTOTAL(9,D11:D13)</f>
        <v>114</v>
      </c>
      <c r="E14" s="93">
        <f>SUBTOTAL(9,E11:E13)</f>
        <v>62700</v>
      </c>
      <c r="F14" s="95"/>
      <c r="G14" s="96"/>
      <c r="H14" s="97"/>
    </row>
    <row r="15" spans="1:8" ht="12.75" outlineLevel="2">
      <c r="A15" s="91" t="s">
        <v>107</v>
      </c>
      <c r="B15" s="92" t="s">
        <v>108</v>
      </c>
      <c r="C15" s="93">
        <v>650</v>
      </c>
      <c r="D15" s="94">
        <v>18</v>
      </c>
      <c r="E15" s="93">
        <f aca="true" t="shared" si="0" ref="E15:E20">C15*D15</f>
        <v>11700</v>
      </c>
      <c r="F15" s="95">
        <f aca="true" t="shared" si="1" ref="F15:F20">IF(D15&gt;=$B$45,$B$46,"")</f>
      </c>
      <c r="G15" s="96">
        <f aca="true" t="shared" si="2" ref="G15:G20">VLOOKUP(B15,$A$29:$B$39,2,0)</f>
        <v>0.1</v>
      </c>
      <c r="H15" s="97">
        <f aca="true" t="shared" si="3" ref="H15:H20">C15*(1-G15)*(1+$B$42)</f>
        <v>681.525</v>
      </c>
    </row>
    <row r="16" spans="1:8" ht="12.75" outlineLevel="2">
      <c r="A16" s="91" t="s">
        <v>133</v>
      </c>
      <c r="B16" s="92" t="s">
        <v>108</v>
      </c>
      <c r="C16" s="93">
        <v>300</v>
      </c>
      <c r="D16" s="94">
        <v>98</v>
      </c>
      <c r="E16" s="93">
        <f t="shared" si="0"/>
        <v>29400</v>
      </c>
      <c r="F16" s="95" t="str">
        <f t="shared" si="1"/>
        <v>מוצר מועדף</v>
      </c>
      <c r="G16" s="96">
        <f t="shared" si="2"/>
        <v>0.1</v>
      </c>
      <c r="H16" s="97">
        <f t="shared" si="3"/>
        <v>314.55</v>
      </c>
    </row>
    <row r="17" spans="1:8" ht="12.75" outlineLevel="2">
      <c r="A17" s="91" t="s">
        <v>130</v>
      </c>
      <c r="B17" s="92" t="s">
        <v>108</v>
      </c>
      <c r="C17" s="93">
        <v>650</v>
      </c>
      <c r="D17" s="94">
        <v>18</v>
      </c>
      <c r="E17" s="93">
        <f t="shared" si="0"/>
        <v>11700</v>
      </c>
      <c r="F17" s="95">
        <f t="shared" si="1"/>
      </c>
      <c r="G17" s="96">
        <f t="shared" si="2"/>
        <v>0.1</v>
      </c>
      <c r="H17" s="97">
        <f t="shared" si="3"/>
        <v>681.525</v>
      </c>
    </row>
    <row r="18" spans="1:8" ht="12.75" outlineLevel="2">
      <c r="A18" s="91" t="s">
        <v>135</v>
      </c>
      <c r="B18" s="92" t="s">
        <v>108</v>
      </c>
      <c r="C18" s="93">
        <v>300</v>
      </c>
      <c r="D18" s="94">
        <v>98</v>
      </c>
      <c r="E18" s="93">
        <f t="shared" si="0"/>
        <v>29400</v>
      </c>
      <c r="F18" s="95" t="str">
        <f t="shared" si="1"/>
        <v>מוצר מועדף</v>
      </c>
      <c r="G18" s="96">
        <f t="shared" si="2"/>
        <v>0.1</v>
      </c>
      <c r="H18" s="97">
        <f t="shared" si="3"/>
        <v>314.55</v>
      </c>
    </row>
    <row r="19" spans="1:8" ht="12.75" outlineLevel="2">
      <c r="A19" s="91" t="s">
        <v>136</v>
      </c>
      <c r="B19" s="92" t="s">
        <v>108</v>
      </c>
      <c r="C19" s="93">
        <v>650</v>
      </c>
      <c r="D19" s="94">
        <v>18</v>
      </c>
      <c r="E19" s="93">
        <f t="shared" si="0"/>
        <v>11700</v>
      </c>
      <c r="F19" s="95">
        <f t="shared" si="1"/>
      </c>
      <c r="G19" s="96">
        <f t="shared" si="2"/>
        <v>0.1</v>
      </c>
      <c r="H19" s="97">
        <f t="shared" si="3"/>
        <v>681.525</v>
      </c>
    </row>
    <row r="20" spans="1:8" ht="13.5" outlineLevel="2" thickBot="1">
      <c r="A20" s="50" t="s">
        <v>140</v>
      </c>
      <c r="B20" s="51" t="s">
        <v>108</v>
      </c>
      <c r="C20" s="52">
        <v>300</v>
      </c>
      <c r="D20" s="53">
        <v>98</v>
      </c>
      <c r="E20" s="52">
        <f t="shared" si="0"/>
        <v>29400</v>
      </c>
      <c r="F20" s="54" t="str">
        <f t="shared" si="1"/>
        <v>מוצר מועדף</v>
      </c>
      <c r="G20" s="55">
        <f t="shared" si="2"/>
        <v>0.1</v>
      </c>
      <c r="H20" s="56">
        <f t="shared" si="3"/>
        <v>314.55</v>
      </c>
    </row>
    <row r="21" spans="1:8" ht="13.5" outlineLevel="1" thickTop="1">
      <c r="A21" s="100"/>
      <c r="B21" s="104" t="s">
        <v>144</v>
      </c>
      <c r="C21" s="101"/>
      <c r="D21" s="102">
        <f>SUBTOTAL(9,D15:D20)</f>
        <v>348</v>
      </c>
      <c r="E21" s="101">
        <f>SUBTOTAL(9,E15:E20)</f>
        <v>123300</v>
      </c>
      <c r="F21" s="100"/>
      <c r="G21" s="103"/>
      <c r="H21" s="101"/>
    </row>
    <row r="22" spans="1:8" ht="12.75">
      <c r="A22" s="100"/>
      <c r="B22" s="104" t="s">
        <v>145</v>
      </c>
      <c r="C22" s="101"/>
      <c r="D22" s="102">
        <f>SUBTOTAL(9,D3:D20)</f>
        <v>870</v>
      </c>
      <c r="E22" s="101">
        <f>SUBTOTAL(9,E3:E20)</f>
        <v>346200</v>
      </c>
      <c r="F22" s="100"/>
      <c r="G22" s="103"/>
      <c r="H22" s="101"/>
    </row>
    <row r="23" spans="1:8" ht="13.5" thickBot="1">
      <c r="A23" s="57"/>
      <c r="B23" s="57"/>
      <c r="C23" s="57"/>
      <c r="D23" s="57"/>
      <c r="E23" s="57"/>
      <c r="F23" s="57"/>
      <c r="G23" s="57"/>
      <c r="H23" s="57"/>
    </row>
    <row r="24" spans="1:8" ht="13.5" thickTop="1">
      <c r="A24" s="58" t="s">
        <v>114</v>
      </c>
      <c r="B24" s="59"/>
      <c r="C24" s="60">
        <f>AVERAGE(C3:C20)</f>
        <v>460</v>
      </c>
      <c r="D24" s="61">
        <f>AVERAGE(D3:D20)</f>
        <v>77.33333333333333</v>
      </c>
      <c r="E24" s="60">
        <f>AVERAGE(E3:E20)</f>
        <v>31616.666666666668</v>
      </c>
      <c r="F24" s="62"/>
      <c r="G24" s="63">
        <f>AVERAGE(G3:G20)</f>
        <v>0.20000000000000004</v>
      </c>
      <c r="H24" s="64">
        <f>AVERAGE(H3:H20)</f>
        <v>431.04999999999995</v>
      </c>
    </row>
    <row r="25" spans="1:8" ht="12.75">
      <c r="A25" s="65" t="s">
        <v>24</v>
      </c>
      <c r="B25" s="66"/>
      <c r="C25" s="67">
        <f>MIN(C3:C20)</f>
        <v>300</v>
      </c>
      <c r="D25" s="68">
        <f>MIN(D3:D20)</f>
        <v>18</v>
      </c>
      <c r="E25" s="67">
        <f>MIN(E3:E20)</f>
        <v>11700</v>
      </c>
      <c r="F25" s="69"/>
      <c r="G25" s="70">
        <f>MIN(G3:G20)</f>
        <v>0.1</v>
      </c>
      <c r="H25" s="71">
        <f>MIN(H3:H20)</f>
        <v>288.33750000000003</v>
      </c>
    </row>
    <row r="26" spans="1:8" ht="12.75">
      <c r="A26" s="65" t="s">
        <v>23</v>
      </c>
      <c r="B26" s="66"/>
      <c r="C26" s="67">
        <f>MAX(C3:C20)</f>
        <v>650</v>
      </c>
      <c r="D26" s="68">
        <f>MAX(D3:D20)</f>
        <v>234</v>
      </c>
      <c r="E26" s="67">
        <f>MAX(E3:E20)</f>
        <v>81900</v>
      </c>
      <c r="F26" s="69"/>
      <c r="G26" s="70">
        <f>MAX(G3:G20)</f>
        <v>0.45</v>
      </c>
      <c r="H26" s="71">
        <f>MAX(H3:H20)</f>
        <v>681.525</v>
      </c>
    </row>
    <row r="27" spans="1:8" ht="13.5" thickBot="1">
      <c r="A27" s="72" t="s">
        <v>115</v>
      </c>
      <c r="B27" s="73"/>
      <c r="C27" s="51" t="s">
        <v>108</v>
      </c>
      <c r="D27" s="74">
        <f>SUMIF(B3:B20,C27,D3:D20)</f>
        <v>348</v>
      </c>
      <c r="E27" s="75"/>
      <c r="F27" s="75"/>
      <c r="G27" s="76"/>
      <c r="H27" s="77"/>
    </row>
    <row r="28" spans="3:8" ht="14.25" thickBot="1" thickTop="1">
      <c r="C28" s="57"/>
      <c r="D28" s="57"/>
      <c r="E28" s="57"/>
      <c r="F28" s="57"/>
      <c r="G28" s="57"/>
      <c r="H28" s="57"/>
    </row>
    <row r="29" spans="1:8" ht="13.5" thickTop="1">
      <c r="A29" s="78" t="s">
        <v>116</v>
      </c>
      <c r="B29" s="79" t="s">
        <v>117</v>
      </c>
      <c r="C29" s="80"/>
      <c r="D29" s="80"/>
      <c r="E29" s="80"/>
      <c r="F29" s="80"/>
      <c r="G29" s="80"/>
      <c r="H29" s="80"/>
    </row>
    <row r="30" spans="1:8" ht="12.75">
      <c r="A30" s="43" t="s">
        <v>118</v>
      </c>
      <c r="B30" s="81">
        <v>0.05</v>
      </c>
      <c r="C30" s="57"/>
      <c r="D30" s="57"/>
      <c r="E30" s="57"/>
      <c r="F30" s="57"/>
      <c r="G30" s="57"/>
      <c r="H30" s="57"/>
    </row>
    <row r="31" spans="1:8" ht="12.75">
      <c r="A31" s="82" t="s">
        <v>108</v>
      </c>
      <c r="B31" s="81">
        <v>0.1</v>
      </c>
      <c r="C31" s="57"/>
      <c r="D31" s="57"/>
      <c r="E31" s="57"/>
      <c r="F31" s="57"/>
      <c r="G31" s="57"/>
      <c r="H31" s="57"/>
    </row>
    <row r="32" spans="1:8" ht="12.75">
      <c r="A32" s="82" t="s">
        <v>110</v>
      </c>
      <c r="B32" s="81">
        <v>0.15</v>
      </c>
      <c r="C32" s="57"/>
      <c r="D32" s="57"/>
      <c r="E32" s="57"/>
      <c r="F32" s="57"/>
      <c r="G32" s="57"/>
      <c r="H32" s="57"/>
    </row>
    <row r="33" spans="1:8" ht="12.75">
      <c r="A33" s="82" t="s">
        <v>113</v>
      </c>
      <c r="B33" s="81">
        <v>0.2</v>
      </c>
      <c r="C33" s="57"/>
      <c r="D33" s="57"/>
      <c r="E33" s="57"/>
      <c r="F33" s="57"/>
      <c r="G33" s="57"/>
      <c r="H33" s="57"/>
    </row>
    <row r="34" spans="1:8" ht="12.75">
      <c r="A34" s="43" t="s">
        <v>119</v>
      </c>
      <c r="B34" s="81">
        <v>0.25</v>
      </c>
      <c r="C34" s="57"/>
      <c r="D34" s="57"/>
      <c r="E34" s="57"/>
      <c r="F34" s="57"/>
      <c r="G34" s="57"/>
      <c r="H34" s="57"/>
    </row>
    <row r="35" spans="1:8" ht="12.75">
      <c r="A35" s="43" t="s">
        <v>120</v>
      </c>
      <c r="B35" s="81">
        <v>0.3</v>
      </c>
      <c r="C35" s="57"/>
      <c r="D35" s="57"/>
      <c r="E35" s="57"/>
      <c r="F35" s="57"/>
      <c r="G35" s="57"/>
      <c r="H35" s="57"/>
    </row>
    <row r="36" spans="1:8" ht="12.75">
      <c r="A36" s="82" t="s">
        <v>121</v>
      </c>
      <c r="B36" s="81">
        <v>0.35</v>
      </c>
      <c r="C36" s="57"/>
      <c r="D36" s="57"/>
      <c r="E36" s="57"/>
      <c r="F36" s="57"/>
      <c r="G36" s="57"/>
      <c r="H36" s="57"/>
    </row>
    <row r="37" spans="1:8" ht="12.75">
      <c r="A37" s="82" t="s">
        <v>122</v>
      </c>
      <c r="B37" s="81">
        <v>0.4</v>
      </c>
      <c r="C37" s="57"/>
      <c r="D37" s="57"/>
      <c r="E37" s="57"/>
      <c r="F37" s="57"/>
      <c r="G37" s="57"/>
      <c r="H37" s="57"/>
    </row>
    <row r="38" spans="1:8" ht="12.75">
      <c r="A38" s="43" t="s">
        <v>112</v>
      </c>
      <c r="B38" s="81">
        <v>0.45</v>
      </c>
      <c r="C38" s="57"/>
      <c r="D38" s="57"/>
      <c r="E38" s="57"/>
      <c r="F38" s="57"/>
      <c r="G38" s="57"/>
      <c r="H38" s="57"/>
    </row>
    <row r="39" spans="1:8" ht="13.5" thickBot="1">
      <c r="A39" s="50" t="s">
        <v>123</v>
      </c>
      <c r="B39" s="83">
        <v>0.5</v>
      </c>
      <c r="C39" s="57"/>
      <c r="D39" s="57"/>
      <c r="E39" s="57"/>
      <c r="F39" s="57"/>
      <c r="G39" s="57"/>
      <c r="H39" s="57"/>
    </row>
    <row r="40" spans="1:8" ht="14.25" thickBot="1" thickTop="1">
      <c r="A40" s="57"/>
      <c r="B40" s="57"/>
      <c r="C40" s="57"/>
      <c r="D40" s="57"/>
      <c r="E40" s="57"/>
      <c r="F40" s="57"/>
      <c r="G40" s="57"/>
      <c r="H40" s="57"/>
    </row>
    <row r="41" spans="1:8" ht="13.5" thickTop="1">
      <c r="A41" s="118" t="s">
        <v>124</v>
      </c>
      <c r="B41" s="119"/>
      <c r="C41" s="84"/>
      <c r="D41" s="84"/>
      <c r="E41" s="84"/>
      <c r="F41" s="84"/>
      <c r="G41" s="84"/>
      <c r="H41" s="84"/>
    </row>
    <row r="42" spans="1:2" ht="12.75">
      <c r="A42" s="85" t="s">
        <v>125</v>
      </c>
      <c r="B42" s="86">
        <v>0.165</v>
      </c>
    </row>
    <row r="43" spans="1:2" ht="12.75">
      <c r="A43" s="85"/>
      <c r="B43" s="87"/>
    </row>
    <row r="44" spans="1:2" ht="12.75">
      <c r="A44" s="120" t="s">
        <v>126</v>
      </c>
      <c r="B44" s="121"/>
    </row>
    <row r="45" spans="1:2" ht="12.75">
      <c r="A45" s="85" t="s">
        <v>127</v>
      </c>
      <c r="B45" s="88">
        <v>40</v>
      </c>
    </row>
    <row r="46" spans="1:2" ht="13.5" thickBot="1">
      <c r="A46" s="89" t="s">
        <v>128</v>
      </c>
      <c r="B46" s="90" t="s">
        <v>129</v>
      </c>
    </row>
    <row r="47" ht="13.5" thickTop="1"/>
  </sheetData>
  <sheetProtection/>
  <mergeCells count="3">
    <mergeCell ref="A1:H1"/>
    <mergeCell ref="A41:B41"/>
    <mergeCell ref="A44:B44"/>
  </mergeCells>
  <conditionalFormatting sqref="F3:F22">
    <cfRule type="cellIs" priority="6" dxfId="0" operator="equal">
      <formula>$B$46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7"/>
  </sheetPr>
  <dimension ref="A1:M61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2" width="9.00390625" style="122" bestFit="1" customWidth="1"/>
    <col min="3" max="3" width="7.57421875" style="122" bestFit="1" customWidth="1"/>
    <col min="4" max="4" width="10.00390625" style="122" bestFit="1" customWidth="1"/>
    <col min="5" max="5" width="12.00390625" style="122" bestFit="1" customWidth="1"/>
    <col min="6" max="8" width="9.140625" style="122" customWidth="1"/>
    <col min="9" max="9" width="9.57421875" style="122" customWidth="1"/>
    <col min="10" max="10" width="19.8515625" style="122" bestFit="1" customWidth="1"/>
    <col min="11" max="11" width="9.140625" style="122" customWidth="1"/>
    <col min="12" max="12" width="37.140625" style="122" bestFit="1" customWidth="1"/>
    <col min="13" max="16384" width="9.140625" style="122" customWidth="1"/>
  </cols>
  <sheetData>
    <row r="1" spans="2:4" ht="15.75">
      <c r="B1" s="145" t="s">
        <v>184</v>
      </c>
      <c r="C1" s="145"/>
      <c r="D1" s="145"/>
    </row>
    <row r="2" spans="1:5" s="147" customFormat="1" ht="47.25">
      <c r="A2" s="146" t="s">
        <v>185</v>
      </c>
      <c r="B2" s="146" t="s">
        <v>186</v>
      </c>
      <c r="C2" s="146" t="s">
        <v>187</v>
      </c>
      <c r="D2" s="146" t="s">
        <v>188</v>
      </c>
      <c r="E2" s="146" t="s">
        <v>189</v>
      </c>
    </row>
    <row r="3" spans="1:5" ht="12.75">
      <c r="A3" s="148" t="s">
        <v>190</v>
      </c>
      <c r="B3" s="142">
        <v>5</v>
      </c>
      <c r="C3" s="149">
        <v>0.04</v>
      </c>
      <c r="D3" s="150">
        <v>1300</v>
      </c>
      <c r="E3" s="150">
        <v>7000</v>
      </c>
    </row>
    <row r="4" spans="1:5" ht="12.75">
      <c r="A4" s="148" t="s">
        <v>191</v>
      </c>
      <c r="B4" s="142">
        <v>3</v>
      </c>
      <c r="C4" s="149">
        <v>0.035</v>
      </c>
      <c r="D4" s="150">
        <v>1200</v>
      </c>
      <c r="E4" s="150">
        <v>12000</v>
      </c>
    </row>
    <row r="5" spans="1:5" ht="12.75">
      <c r="A5" s="148" t="s">
        <v>192</v>
      </c>
      <c r="B5" s="142">
        <v>7</v>
      </c>
      <c r="C5" s="149">
        <v>0.02</v>
      </c>
      <c r="D5" s="150">
        <v>800</v>
      </c>
      <c r="E5" s="150">
        <v>5000</v>
      </c>
    </row>
    <row r="6" spans="1:5" ht="12.75">
      <c r="A6" s="148" t="s">
        <v>193</v>
      </c>
      <c r="B6" s="142">
        <v>10</v>
      </c>
      <c r="C6" s="149">
        <v>0.045</v>
      </c>
      <c r="D6" s="150">
        <v>1100</v>
      </c>
      <c r="E6" s="150">
        <v>14000</v>
      </c>
    </row>
    <row r="7" spans="1:5" ht="12.75">
      <c r="A7" s="148" t="s">
        <v>194</v>
      </c>
      <c r="B7" s="142">
        <v>12</v>
      </c>
      <c r="C7" s="149">
        <v>0.03</v>
      </c>
      <c r="D7" s="150">
        <v>2000</v>
      </c>
      <c r="E7" s="150">
        <v>25000</v>
      </c>
    </row>
    <row r="8" spans="1:5" ht="12.75">
      <c r="A8" s="148" t="s">
        <v>195</v>
      </c>
      <c r="B8" s="142">
        <v>6</v>
      </c>
      <c r="C8" s="149">
        <v>0.03</v>
      </c>
      <c r="D8" s="150">
        <v>500</v>
      </c>
      <c r="E8" s="150">
        <v>2000</v>
      </c>
    </row>
    <row r="9" spans="1:5" ht="12.75">
      <c r="A9" s="148" t="s">
        <v>192</v>
      </c>
      <c r="B9" s="144">
        <v>5</v>
      </c>
      <c r="C9" s="149">
        <v>0.022</v>
      </c>
      <c r="D9" s="150">
        <v>750</v>
      </c>
      <c r="E9" s="150">
        <v>4500</v>
      </c>
    </row>
    <row r="10" spans="1:5" ht="12.75">
      <c r="A10" s="148" t="s">
        <v>194</v>
      </c>
      <c r="B10" s="144">
        <v>14</v>
      </c>
      <c r="C10" s="149">
        <v>0.025</v>
      </c>
      <c r="D10" s="150">
        <v>1700</v>
      </c>
      <c r="E10" s="150">
        <v>28000</v>
      </c>
    </row>
    <row r="11" spans="1:5" ht="12.75">
      <c r="A11" s="148" t="s">
        <v>190</v>
      </c>
      <c r="B11" s="144">
        <v>20</v>
      </c>
      <c r="C11" s="149">
        <v>0.04</v>
      </c>
      <c r="D11" s="150">
        <v>1000</v>
      </c>
      <c r="E11" s="150">
        <v>85000</v>
      </c>
    </row>
    <row r="12" spans="1:5" ht="12.75">
      <c r="A12" s="148" t="s">
        <v>194</v>
      </c>
      <c r="B12" s="144">
        <v>13</v>
      </c>
      <c r="C12" s="149">
        <v>0.025</v>
      </c>
      <c r="D12" s="150">
        <v>1800</v>
      </c>
      <c r="E12" s="150">
        <v>22000</v>
      </c>
    </row>
    <row r="13" spans="1:5" ht="12.75">
      <c r="A13" s="148" t="s">
        <v>193</v>
      </c>
      <c r="B13" s="144">
        <v>2</v>
      </c>
      <c r="C13" s="149">
        <v>0.05</v>
      </c>
      <c r="D13" s="150">
        <v>1150</v>
      </c>
      <c r="E13" s="150">
        <v>3000</v>
      </c>
    </row>
    <row r="14" spans="1:5" ht="12.75">
      <c r="A14" s="148" t="s">
        <v>193</v>
      </c>
      <c r="B14" s="144">
        <v>18</v>
      </c>
      <c r="C14" s="149">
        <v>0.045</v>
      </c>
      <c r="D14" s="150">
        <v>2000</v>
      </c>
      <c r="E14" s="150">
        <v>120000</v>
      </c>
    </row>
    <row r="16" spans="2:4" ht="13.5" thickBot="1">
      <c r="B16" s="151" t="s">
        <v>196</v>
      </c>
      <c r="C16" s="151"/>
      <c r="D16" s="151"/>
    </row>
    <row r="17" spans="9:13" ht="14.25">
      <c r="I17" s="152" t="s">
        <v>197</v>
      </c>
      <c r="J17" s="153"/>
      <c r="K17" s="153"/>
      <c r="L17" s="153"/>
      <c r="M17" s="154"/>
    </row>
    <row r="18" spans="9:13" ht="12.75">
      <c r="I18" s="155"/>
      <c r="J18" s="123"/>
      <c r="K18" s="123"/>
      <c r="L18" s="123"/>
      <c r="M18" s="156"/>
    </row>
    <row r="19" spans="9:13" ht="15" thickBot="1">
      <c r="I19" s="157" t="s">
        <v>198</v>
      </c>
      <c r="J19" s="158"/>
      <c r="K19" s="159"/>
      <c r="L19" s="159"/>
      <c r="M19" s="160"/>
    </row>
    <row r="20" ht="13.5" thickBot="1"/>
    <row r="21" spans="9:13" ht="14.25">
      <c r="I21" s="152" t="s">
        <v>199</v>
      </c>
      <c r="J21" s="153"/>
      <c r="K21" s="153"/>
      <c r="L21" s="153"/>
      <c r="M21" s="154"/>
    </row>
    <row r="22" spans="9:13" ht="12.75">
      <c r="I22" s="155"/>
      <c r="J22" s="123"/>
      <c r="K22" s="123"/>
      <c r="L22" s="123"/>
      <c r="M22" s="156"/>
    </row>
    <row r="23" spans="9:13" ht="15" thickBot="1">
      <c r="I23" s="157" t="s">
        <v>200</v>
      </c>
      <c r="J23" s="161"/>
      <c r="K23" s="159"/>
      <c r="L23" s="159"/>
      <c r="M23" s="160"/>
    </row>
    <row r="25" ht="13.5" thickBot="1"/>
    <row r="26" spans="9:13" ht="14.25">
      <c r="I26" s="152" t="s">
        <v>201</v>
      </c>
      <c r="J26" s="153"/>
      <c r="K26" s="153"/>
      <c r="L26" s="153"/>
      <c r="M26" s="154"/>
    </row>
    <row r="27" spans="9:13" ht="12.75">
      <c r="I27" s="155"/>
      <c r="J27" s="123"/>
      <c r="K27" s="123"/>
      <c r="L27" s="123"/>
      <c r="M27" s="156"/>
    </row>
    <row r="28" spans="9:13" ht="15" thickBot="1">
      <c r="I28" s="157" t="s">
        <v>200</v>
      </c>
      <c r="J28" s="161"/>
      <c r="K28" s="159"/>
      <c r="L28" s="159"/>
      <c r="M28" s="160"/>
    </row>
    <row r="30" ht="13.5" thickBot="1"/>
    <row r="31" spans="9:13" ht="14.25">
      <c r="I31" s="152" t="s">
        <v>202</v>
      </c>
      <c r="J31" s="153"/>
      <c r="K31" s="153"/>
      <c r="L31" s="153"/>
      <c r="M31" s="154"/>
    </row>
    <row r="32" spans="9:13" ht="12.75">
      <c r="I32" s="155"/>
      <c r="J32" s="123"/>
      <c r="K32" s="123"/>
      <c r="L32" s="123"/>
      <c r="M32" s="156"/>
    </row>
    <row r="33" spans="9:13" ht="15" thickBot="1">
      <c r="I33" s="157" t="s">
        <v>200</v>
      </c>
      <c r="J33" s="161"/>
      <c r="K33" s="159"/>
      <c r="L33" s="159"/>
      <c r="M33" s="160"/>
    </row>
    <row r="34" ht="13.5" thickBot="1"/>
    <row r="35" spans="9:13" ht="14.25">
      <c r="I35" s="162" t="s">
        <v>203</v>
      </c>
      <c r="J35" s="163"/>
      <c r="K35" s="163"/>
      <c r="L35" s="163"/>
      <c r="M35" s="164"/>
    </row>
    <row r="36" spans="9:13" ht="12.75">
      <c r="I36" s="155"/>
      <c r="J36" s="123"/>
      <c r="K36" s="123"/>
      <c r="L36" s="123"/>
      <c r="M36" s="156"/>
    </row>
    <row r="37" spans="9:13" ht="15" thickBot="1">
      <c r="I37" s="157" t="s">
        <v>200</v>
      </c>
      <c r="J37" s="161"/>
      <c r="K37" s="159"/>
      <c r="L37" s="159"/>
      <c r="M37" s="160"/>
    </row>
    <row r="40" ht="13.5" thickBot="1"/>
    <row r="41" spans="9:13" ht="14.25">
      <c r="I41" s="162" t="s">
        <v>204</v>
      </c>
      <c r="J41" s="163"/>
      <c r="K41" s="163"/>
      <c r="L41" s="163"/>
      <c r="M41" s="164"/>
    </row>
    <row r="42" spans="9:13" ht="12.75">
      <c r="I42" s="155"/>
      <c r="J42" s="123"/>
      <c r="K42" s="123"/>
      <c r="L42" s="123"/>
      <c r="M42" s="156"/>
    </row>
    <row r="43" spans="9:13" ht="15" thickBot="1">
      <c r="I43" s="157" t="s">
        <v>200</v>
      </c>
      <c r="J43" s="165"/>
      <c r="K43" s="159"/>
      <c r="L43" s="159"/>
      <c r="M43" s="160"/>
    </row>
    <row r="46" ht="13.5" thickBot="1"/>
    <row r="47" spans="9:13" ht="14.25">
      <c r="I47" s="162" t="s">
        <v>205</v>
      </c>
      <c r="J47" s="163"/>
      <c r="K47" s="163"/>
      <c r="L47" s="163"/>
      <c r="M47" s="164"/>
    </row>
    <row r="48" spans="9:13" ht="12.75">
      <c r="I48" s="155"/>
      <c r="J48" s="123"/>
      <c r="K48" s="123"/>
      <c r="L48" s="123"/>
      <c r="M48" s="156"/>
    </row>
    <row r="49" spans="9:13" ht="15" thickBot="1">
      <c r="I49" s="157" t="s">
        <v>200</v>
      </c>
      <c r="J49" s="166"/>
      <c r="K49" s="159"/>
      <c r="L49" s="159"/>
      <c r="M49" s="160"/>
    </row>
    <row r="52" ht="13.5" thickBot="1"/>
    <row r="53" spans="9:13" ht="14.25">
      <c r="I53" s="162" t="s">
        <v>206</v>
      </c>
      <c r="J53" s="163"/>
      <c r="K53" s="163"/>
      <c r="L53" s="163"/>
      <c r="M53" s="164"/>
    </row>
    <row r="54" spans="9:13" ht="12.75">
      <c r="I54" s="155"/>
      <c r="J54" s="123"/>
      <c r="K54" s="123"/>
      <c r="L54" s="123"/>
      <c r="M54" s="156"/>
    </row>
    <row r="55" spans="9:13" ht="15" thickBot="1">
      <c r="I55" s="157" t="s">
        <v>200</v>
      </c>
      <c r="J55" s="167"/>
      <c r="K55" s="159"/>
      <c r="L55" s="159"/>
      <c r="M55" s="160"/>
    </row>
    <row r="58" ht="13.5" thickBot="1"/>
    <row r="59" spans="9:13" ht="14.25">
      <c r="I59" s="162" t="s">
        <v>207</v>
      </c>
      <c r="J59" s="163"/>
      <c r="K59" s="163"/>
      <c r="L59" s="163"/>
      <c r="M59" s="164"/>
    </row>
    <row r="60" spans="9:13" ht="12.75">
      <c r="I60" s="155"/>
      <c r="J60" s="123"/>
      <c r="K60" s="123"/>
      <c r="L60" s="123"/>
      <c r="M60" s="156"/>
    </row>
    <row r="61" spans="9:13" ht="15" thickBot="1">
      <c r="I61" s="157" t="s">
        <v>200</v>
      </c>
      <c r="J61" s="167"/>
      <c r="K61" s="159"/>
      <c r="L61" s="159"/>
      <c r="M61" s="160"/>
    </row>
  </sheetData>
  <sheetProtection/>
  <mergeCells count="11">
    <mergeCell ref="I35:M35"/>
    <mergeCell ref="I41:M41"/>
    <mergeCell ref="I47:M47"/>
    <mergeCell ref="I53:M53"/>
    <mergeCell ref="I59:M59"/>
    <mergeCell ref="B1:D1"/>
    <mergeCell ref="B16:D16"/>
    <mergeCell ref="I17:M17"/>
    <mergeCell ref="I21:M21"/>
    <mergeCell ref="I26:M26"/>
    <mergeCell ref="I31:M31"/>
  </mergeCells>
  <printOptions/>
  <pageMargins left="0.75" right="0.75" top="1" bottom="1" header="0.5" footer="0.5"/>
  <pageSetup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7"/>
  </sheetPr>
  <dimension ref="A1:M61"/>
  <sheetViews>
    <sheetView rightToLeft="1" zoomScalePageLayoutView="0" workbookViewId="0" topLeftCell="A40">
      <selection activeCell="A1" sqref="A1"/>
    </sheetView>
  </sheetViews>
  <sheetFormatPr defaultColWidth="9.140625" defaultRowHeight="12.75"/>
  <cols>
    <col min="1" max="2" width="9.00390625" style="122" bestFit="1" customWidth="1"/>
    <col min="3" max="3" width="7.57421875" style="122" bestFit="1" customWidth="1"/>
    <col min="4" max="4" width="10.00390625" style="122" bestFit="1" customWidth="1"/>
    <col min="5" max="5" width="12.00390625" style="122" bestFit="1" customWidth="1"/>
    <col min="6" max="8" width="9.140625" style="122" customWidth="1"/>
    <col min="9" max="9" width="9.57421875" style="122" customWidth="1"/>
    <col min="10" max="10" width="19.8515625" style="122" bestFit="1" customWidth="1"/>
    <col min="11" max="11" width="9.140625" style="122" customWidth="1"/>
    <col min="12" max="12" width="37.140625" style="122" bestFit="1" customWidth="1"/>
    <col min="13" max="16384" width="9.140625" style="122" customWidth="1"/>
  </cols>
  <sheetData>
    <row r="1" spans="2:4" ht="15.75">
      <c r="B1" s="145" t="s">
        <v>184</v>
      </c>
      <c r="C1" s="145"/>
      <c r="D1" s="145"/>
    </row>
    <row r="2" spans="1:5" s="147" customFormat="1" ht="47.25">
      <c r="A2" s="146" t="s">
        <v>185</v>
      </c>
      <c r="B2" s="146" t="s">
        <v>186</v>
      </c>
      <c r="C2" s="146" t="s">
        <v>187</v>
      </c>
      <c r="D2" s="146" t="s">
        <v>188</v>
      </c>
      <c r="E2" s="146" t="s">
        <v>189</v>
      </c>
    </row>
    <row r="3" spans="1:5" ht="12.75">
      <c r="A3" s="148" t="s">
        <v>190</v>
      </c>
      <c r="B3" s="142">
        <v>5</v>
      </c>
      <c r="C3" s="149">
        <v>0.04</v>
      </c>
      <c r="D3" s="150">
        <v>1300</v>
      </c>
      <c r="E3" s="150">
        <v>7000</v>
      </c>
    </row>
    <row r="4" spans="1:5" ht="12.75">
      <c r="A4" s="148" t="s">
        <v>191</v>
      </c>
      <c r="B4" s="142">
        <v>3</v>
      </c>
      <c r="C4" s="149">
        <v>0.035</v>
      </c>
      <c r="D4" s="150">
        <v>1200</v>
      </c>
      <c r="E4" s="150">
        <v>12000</v>
      </c>
    </row>
    <row r="5" spans="1:5" ht="12.75">
      <c r="A5" s="148" t="s">
        <v>192</v>
      </c>
      <c r="B5" s="142">
        <v>7</v>
      </c>
      <c r="C5" s="149">
        <v>0.02</v>
      </c>
      <c r="D5" s="150">
        <v>800</v>
      </c>
      <c r="E5" s="150">
        <v>5000</v>
      </c>
    </row>
    <row r="6" spans="1:5" ht="12.75">
      <c r="A6" s="148" t="s">
        <v>193</v>
      </c>
      <c r="B6" s="142">
        <v>10</v>
      </c>
      <c r="C6" s="149">
        <v>0.045</v>
      </c>
      <c r="D6" s="150">
        <v>1100</v>
      </c>
      <c r="E6" s="150">
        <v>14000</v>
      </c>
    </row>
    <row r="7" spans="1:5" ht="12.75">
      <c r="A7" s="148" t="s">
        <v>194</v>
      </c>
      <c r="B7" s="142">
        <v>12</v>
      </c>
      <c r="C7" s="149">
        <v>0.03</v>
      </c>
      <c r="D7" s="150">
        <v>2000</v>
      </c>
      <c r="E7" s="150">
        <v>25000</v>
      </c>
    </row>
    <row r="8" spans="1:5" ht="12.75">
      <c r="A8" s="148" t="s">
        <v>195</v>
      </c>
      <c r="B8" s="142">
        <v>6</v>
      </c>
      <c r="C8" s="149">
        <v>0.03</v>
      </c>
      <c r="D8" s="150">
        <v>500</v>
      </c>
      <c r="E8" s="150">
        <v>2000</v>
      </c>
    </row>
    <row r="9" spans="1:5" ht="12.75">
      <c r="A9" s="148" t="s">
        <v>192</v>
      </c>
      <c r="B9" s="144">
        <v>5</v>
      </c>
      <c r="C9" s="149">
        <v>0.022</v>
      </c>
      <c r="D9" s="150">
        <v>750</v>
      </c>
      <c r="E9" s="150">
        <v>4500</v>
      </c>
    </row>
    <row r="10" spans="1:5" ht="12.75">
      <c r="A10" s="148" t="s">
        <v>194</v>
      </c>
      <c r="B10" s="144">
        <v>14</v>
      </c>
      <c r="C10" s="149">
        <v>0.025</v>
      </c>
      <c r="D10" s="150">
        <v>1700</v>
      </c>
      <c r="E10" s="150">
        <v>28000</v>
      </c>
    </row>
    <row r="11" spans="1:5" ht="12.75">
      <c r="A11" s="148" t="s">
        <v>190</v>
      </c>
      <c r="B11" s="144">
        <v>20</v>
      </c>
      <c r="C11" s="149">
        <v>0.04</v>
      </c>
      <c r="D11" s="150">
        <v>1000</v>
      </c>
      <c r="E11" s="150">
        <v>85000</v>
      </c>
    </row>
    <row r="12" spans="1:5" ht="12.75">
      <c r="A12" s="148" t="s">
        <v>194</v>
      </c>
      <c r="B12" s="144">
        <v>13</v>
      </c>
      <c r="C12" s="149">
        <v>0.025</v>
      </c>
      <c r="D12" s="150">
        <v>1800</v>
      </c>
      <c r="E12" s="150">
        <v>22000</v>
      </c>
    </row>
    <row r="13" spans="1:5" ht="12.75">
      <c r="A13" s="148" t="s">
        <v>193</v>
      </c>
      <c r="B13" s="144">
        <v>2</v>
      </c>
      <c r="C13" s="149">
        <v>0.05</v>
      </c>
      <c r="D13" s="150">
        <v>1150</v>
      </c>
      <c r="E13" s="150">
        <v>3000</v>
      </c>
    </row>
    <row r="14" spans="1:5" ht="12.75">
      <c r="A14" s="148" t="s">
        <v>193</v>
      </c>
      <c r="B14" s="144">
        <v>18</v>
      </c>
      <c r="C14" s="149">
        <v>0.045</v>
      </c>
      <c r="D14" s="150">
        <v>2000</v>
      </c>
      <c r="E14" s="150">
        <v>120000</v>
      </c>
    </row>
    <row r="16" spans="2:4" ht="13.5" thickBot="1">
      <c r="B16" s="151" t="s">
        <v>196</v>
      </c>
      <c r="C16" s="151"/>
      <c r="D16" s="151"/>
    </row>
    <row r="17" spans="1:13" ht="38.25">
      <c r="A17" s="168" t="s">
        <v>185</v>
      </c>
      <c r="B17" s="168" t="s">
        <v>186</v>
      </c>
      <c r="C17" s="168" t="s">
        <v>187</v>
      </c>
      <c r="D17" s="168" t="s">
        <v>188</v>
      </c>
      <c r="E17" s="168" t="s">
        <v>189</v>
      </c>
      <c r="I17" s="152" t="s">
        <v>197</v>
      </c>
      <c r="J17" s="153"/>
      <c r="K17" s="153"/>
      <c r="L17" s="153"/>
      <c r="M17" s="154"/>
    </row>
    <row r="18" spans="1:13" ht="12.75">
      <c r="A18" s="142"/>
      <c r="B18" s="169" t="s">
        <v>208</v>
      </c>
      <c r="C18" s="142"/>
      <c r="D18" s="169" t="s">
        <v>209</v>
      </c>
      <c r="E18" s="142"/>
      <c r="I18" s="155"/>
      <c r="J18" s="123"/>
      <c r="K18" s="123"/>
      <c r="L18" s="123"/>
      <c r="M18" s="156"/>
    </row>
    <row r="19" spans="1:13" ht="15" thickBot="1">
      <c r="A19" s="142"/>
      <c r="B19" s="142"/>
      <c r="C19" s="142"/>
      <c r="D19" s="142"/>
      <c r="E19" s="142"/>
      <c r="I19" s="157" t="s">
        <v>198</v>
      </c>
      <c r="J19" s="158">
        <f>DCOUNT(A2:E14,,A17:E18)</f>
        <v>4</v>
      </c>
      <c r="K19" s="159"/>
      <c r="L19" s="159" t="s">
        <v>210</v>
      </c>
      <c r="M19" s="160"/>
    </row>
    <row r="20" ht="13.5" thickBot="1"/>
    <row r="21" spans="1:13" ht="38.25">
      <c r="A21" s="168" t="s">
        <v>185</v>
      </c>
      <c r="B21" s="168" t="s">
        <v>186</v>
      </c>
      <c r="C21" s="168" t="s">
        <v>187</v>
      </c>
      <c r="D21" s="168" t="s">
        <v>188</v>
      </c>
      <c r="E21" s="168" t="s">
        <v>189</v>
      </c>
      <c r="I21" s="152" t="s">
        <v>199</v>
      </c>
      <c r="J21" s="153"/>
      <c r="K21" s="153"/>
      <c r="L21" s="153"/>
      <c r="M21" s="154"/>
    </row>
    <row r="22" spans="1:13" ht="12.75">
      <c r="A22" s="169" t="s">
        <v>193</v>
      </c>
      <c r="B22" s="142"/>
      <c r="C22" s="142"/>
      <c r="D22" s="142"/>
      <c r="E22" s="142"/>
      <c r="I22" s="155"/>
      <c r="J22" s="123"/>
      <c r="K22" s="123"/>
      <c r="L22" s="123"/>
      <c r="M22" s="156"/>
    </row>
    <row r="23" spans="1:13" ht="15" thickBot="1">
      <c r="A23" s="142"/>
      <c r="B23" s="142"/>
      <c r="C23" s="142"/>
      <c r="D23" s="142"/>
      <c r="E23" s="142"/>
      <c r="I23" s="157" t="s">
        <v>200</v>
      </c>
      <c r="J23" s="161">
        <f>DMAX(A2:E14,E21,A21:A22)</f>
        <v>120000</v>
      </c>
      <c r="K23" s="159"/>
      <c r="L23" s="159" t="s">
        <v>211</v>
      </c>
      <c r="M23" s="160"/>
    </row>
    <row r="25" ht="13.5" thickBot="1"/>
    <row r="26" spans="1:13" ht="38.25">
      <c r="A26" s="168" t="s">
        <v>185</v>
      </c>
      <c r="B26" s="168" t="s">
        <v>186</v>
      </c>
      <c r="C26" s="168" t="s">
        <v>187</v>
      </c>
      <c r="D26" s="168" t="s">
        <v>188</v>
      </c>
      <c r="E26" s="168" t="s">
        <v>189</v>
      </c>
      <c r="I26" s="152" t="s">
        <v>201</v>
      </c>
      <c r="J26" s="153"/>
      <c r="K26" s="153"/>
      <c r="L26" s="153"/>
      <c r="M26" s="154"/>
    </row>
    <row r="27" spans="1:13" ht="12.75">
      <c r="A27" s="169" t="s">
        <v>193</v>
      </c>
      <c r="B27" s="169" t="s">
        <v>212</v>
      </c>
      <c r="C27" s="142"/>
      <c r="D27" s="142"/>
      <c r="E27" s="142"/>
      <c r="I27" s="155"/>
      <c r="J27" s="123"/>
      <c r="K27" s="123"/>
      <c r="L27" s="123"/>
      <c r="M27" s="156"/>
    </row>
    <row r="28" spans="1:13" ht="15" thickBot="1">
      <c r="A28" s="142"/>
      <c r="B28" s="142"/>
      <c r="C28" s="142"/>
      <c r="D28" s="142"/>
      <c r="E28" s="142"/>
      <c r="I28" s="157" t="s">
        <v>200</v>
      </c>
      <c r="J28" s="161">
        <f>DMIN(A2:E14,D26,A26:B27)</f>
        <v>1150</v>
      </c>
      <c r="K28" s="159"/>
      <c r="L28" s="159" t="s">
        <v>213</v>
      </c>
      <c r="M28" s="160"/>
    </row>
    <row r="30" ht="13.5" thickBot="1"/>
    <row r="31" spans="1:13" ht="38.25">
      <c r="A31" s="168" t="s">
        <v>185</v>
      </c>
      <c r="B31" s="168" t="s">
        <v>186</v>
      </c>
      <c r="C31" s="168" t="s">
        <v>187</v>
      </c>
      <c r="D31" s="168" t="s">
        <v>188</v>
      </c>
      <c r="E31" s="168" t="s">
        <v>189</v>
      </c>
      <c r="I31" s="152" t="s">
        <v>202</v>
      </c>
      <c r="J31" s="153"/>
      <c r="K31" s="153"/>
      <c r="L31" s="153"/>
      <c r="M31" s="154"/>
    </row>
    <row r="32" spans="1:13" ht="12.75">
      <c r="A32" s="169" t="s">
        <v>194</v>
      </c>
      <c r="B32" s="169" t="s">
        <v>214</v>
      </c>
      <c r="C32" s="142"/>
      <c r="D32" s="142"/>
      <c r="E32" s="142"/>
      <c r="I32" s="155"/>
      <c r="J32" s="123"/>
      <c r="K32" s="123"/>
      <c r="L32" s="123"/>
      <c r="M32" s="156"/>
    </row>
    <row r="33" spans="1:13" ht="15" thickBot="1">
      <c r="A33" s="169" t="s">
        <v>193</v>
      </c>
      <c r="B33" s="169" t="s">
        <v>214</v>
      </c>
      <c r="C33" s="142"/>
      <c r="D33" s="142"/>
      <c r="E33" s="142"/>
      <c r="I33" s="157" t="s">
        <v>200</v>
      </c>
      <c r="J33" s="161">
        <f>DSUM(A2:E14,E31,A31:B33)</f>
        <v>195000</v>
      </c>
      <c r="K33" s="159"/>
      <c r="L33" s="159" t="s">
        <v>215</v>
      </c>
      <c r="M33" s="160"/>
    </row>
    <row r="34" ht="13.5" thickBot="1"/>
    <row r="35" spans="1:13" ht="38.25">
      <c r="A35" s="168" t="s">
        <v>185</v>
      </c>
      <c r="B35" s="168" t="s">
        <v>186</v>
      </c>
      <c r="C35" s="168" t="s">
        <v>187</v>
      </c>
      <c r="D35" s="168" t="s">
        <v>188</v>
      </c>
      <c r="E35" s="168" t="s">
        <v>189</v>
      </c>
      <c r="I35" s="162" t="s">
        <v>203</v>
      </c>
      <c r="J35" s="163"/>
      <c r="K35" s="163"/>
      <c r="L35" s="163"/>
      <c r="M35" s="164"/>
    </row>
    <row r="36" spans="1:13" ht="12.75">
      <c r="A36" s="169" t="s">
        <v>193</v>
      </c>
      <c r="B36" s="169" t="s">
        <v>216</v>
      </c>
      <c r="C36" s="142"/>
      <c r="D36" s="142"/>
      <c r="E36" s="142"/>
      <c r="I36" s="155"/>
      <c r="J36" s="123"/>
      <c r="K36" s="123"/>
      <c r="L36" s="123"/>
      <c r="M36" s="156"/>
    </row>
    <row r="37" spans="1:13" ht="15" thickBot="1">
      <c r="A37" s="169" t="s">
        <v>190</v>
      </c>
      <c r="B37" s="169" t="s">
        <v>217</v>
      </c>
      <c r="C37" s="142"/>
      <c r="D37" s="142"/>
      <c r="E37" s="142"/>
      <c r="I37" s="157" t="s">
        <v>200</v>
      </c>
      <c r="J37" s="161">
        <f>DAVERAGE(A2:E14,E35,A35:D38)</f>
        <v>53800</v>
      </c>
      <c r="K37" s="159"/>
      <c r="L37" s="159" t="s">
        <v>218</v>
      </c>
      <c r="M37" s="160"/>
    </row>
    <row r="38" spans="1:5" ht="12.75">
      <c r="A38" s="169" t="s">
        <v>194</v>
      </c>
      <c r="B38" s="142"/>
      <c r="C38" s="142"/>
      <c r="D38" s="169" t="s">
        <v>219</v>
      </c>
      <c r="E38" s="142"/>
    </row>
    <row r="40" ht="13.5" thickBot="1"/>
    <row r="41" spans="1:13" ht="38.25">
      <c r="A41" s="168" t="s">
        <v>185</v>
      </c>
      <c r="B41" s="168" t="s">
        <v>186</v>
      </c>
      <c r="C41" s="168" t="s">
        <v>187</v>
      </c>
      <c r="D41" s="168" t="s">
        <v>188</v>
      </c>
      <c r="E41" s="168" t="s">
        <v>189</v>
      </c>
      <c r="I41" s="162" t="s">
        <v>204</v>
      </c>
      <c r="J41" s="163"/>
      <c r="K41" s="163"/>
      <c r="L41" s="163"/>
      <c r="M41" s="164"/>
    </row>
    <row r="42" spans="1:13" ht="12.75">
      <c r="A42" s="142"/>
      <c r="B42" s="169" t="s">
        <v>212</v>
      </c>
      <c r="C42" s="142"/>
      <c r="D42" s="142"/>
      <c r="E42" s="142"/>
      <c r="I42" s="155"/>
      <c r="J42" s="123"/>
      <c r="K42" s="123"/>
      <c r="L42" s="123"/>
      <c r="M42" s="156"/>
    </row>
    <row r="43" spans="1:13" ht="15" thickBot="1">
      <c r="A43" s="142"/>
      <c r="B43" s="142"/>
      <c r="C43" s="142"/>
      <c r="D43" s="142"/>
      <c r="E43" s="142"/>
      <c r="I43" s="157" t="s">
        <v>200</v>
      </c>
      <c r="J43" s="165">
        <f>DSTDEV(A2:E14,C41,B41:B42)</f>
        <v>0.011321071798494465</v>
      </c>
      <c r="K43" s="159"/>
      <c r="L43" s="159" t="s">
        <v>220</v>
      </c>
      <c r="M43" s="160"/>
    </row>
    <row r="44" spans="1:5" ht="12.75">
      <c r="A44" s="142"/>
      <c r="B44" s="142"/>
      <c r="C44" s="142"/>
      <c r="D44" s="142"/>
      <c r="E44" s="142"/>
    </row>
    <row r="46" ht="13.5" thickBot="1"/>
    <row r="47" spans="1:13" ht="38.25">
      <c r="A47" s="168" t="s">
        <v>185</v>
      </c>
      <c r="B47" s="168" t="s">
        <v>186</v>
      </c>
      <c r="C47" s="168" t="s">
        <v>187</v>
      </c>
      <c r="D47" s="168" t="s">
        <v>188</v>
      </c>
      <c r="E47" s="168" t="s">
        <v>189</v>
      </c>
      <c r="I47" s="162" t="s">
        <v>205</v>
      </c>
      <c r="J47" s="163"/>
      <c r="K47" s="163"/>
      <c r="L47" s="163"/>
      <c r="M47" s="164"/>
    </row>
    <row r="48" spans="1:13" ht="12.75">
      <c r="A48" s="142"/>
      <c r="B48" s="169" t="s">
        <v>221</v>
      </c>
      <c r="C48" s="142"/>
      <c r="D48" s="142"/>
      <c r="E48" s="142"/>
      <c r="I48" s="155"/>
      <c r="J48" s="123"/>
      <c r="K48" s="123"/>
      <c r="L48" s="123"/>
      <c r="M48" s="156"/>
    </row>
    <row r="49" spans="1:13" ht="15" thickBot="1">
      <c r="A49" s="142"/>
      <c r="B49" s="142"/>
      <c r="C49" s="142"/>
      <c r="D49" s="142"/>
      <c r="E49" s="142"/>
      <c r="I49" s="157" t="s">
        <v>200</v>
      </c>
      <c r="J49" s="166">
        <f>DGET(A2:E14,B47,B47:B48)</f>
        <v>20</v>
      </c>
      <c r="K49" s="159"/>
      <c r="L49" s="159" t="s">
        <v>222</v>
      </c>
      <c r="M49" s="160"/>
    </row>
    <row r="50" spans="1:5" ht="12.75">
      <c r="A50" s="142"/>
      <c r="B50" s="142"/>
      <c r="C50" s="142"/>
      <c r="D50" s="142"/>
      <c r="E50" s="142"/>
    </row>
    <row r="52" ht="13.5" thickBot="1"/>
    <row r="53" spans="1:13" ht="38.25">
      <c r="A53" s="168" t="s">
        <v>185</v>
      </c>
      <c r="B53" s="168" t="s">
        <v>186</v>
      </c>
      <c r="C53" s="168" t="s">
        <v>187</v>
      </c>
      <c r="D53" s="168" t="s">
        <v>188</v>
      </c>
      <c r="E53" s="168" t="s">
        <v>189</v>
      </c>
      <c r="I53" s="162" t="s">
        <v>206</v>
      </c>
      <c r="J53" s="163"/>
      <c r="K53" s="163"/>
      <c r="L53" s="163"/>
      <c r="M53" s="164"/>
    </row>
    <row r="54" spans="1:13" ht="12.75">
      <c r="A54" s="142"/>
      <c r="B54" s="170" t="s">
        <v>212</v>
      </c>
      <c r="C54" s="142"/>
      <c r="D54" s="170" t="s">
        <v>223</v>
      </c>
      <c r="E54" s="142"/>
      <c r="I54" s="155"/>
      <c r="J54" s="123"/>
      <c r="K54" s="123"/>
      <c r="L54" s="123"/>
      <c r="M54" s="156"/>
    </row>
    <row r="55" spans="1:13" ht="15" thickBot="1">
      <c r="A55" s="142"/>
      <c r="B55" s="142"/>
      <c r="C55" s="142"/>
      <c r="D55" s="142"/>
      <c r="E55" s="142"/>
      <c r="I55" s="157" t="s">
        <v>200</v>
      </c>
      <c r="J55" s="167">
        <f>DVAR(A2:E14,E35,A53:E54)</f>
        <v>20333333.33333333</v>
      </c>
      <c r="K55" s="159"/>
      <c r="L55" s="159" t="s">
        <v>224</v>
      </c>
      <c r="M55" s="160"/>
    </row>
    <row r="56" spans="1:5" ht="12.75">
      <c r="A56" s="142"/>
      <c r="B56" s="142"/>
      <c r="C56" s="142"/>
      <c r="D56" s="142"/>
      <c r="E56" s="142"/>
    </row>
    <row r="58" ht="13.5" thickBot="1"/>
    <row r="59" spans="1:13" ht="38.25">
      <c r="A59" s="168" t="s">
        <v>185</v>
      </c>
      <c r="B59" s="168" t="s">
        <v>186</v>
      </c>
      <c r="C59" s="168" t="s">
        <v>187</v>
      </c>
      <c r="D59" s="168" t="s">
        <v>188</v>
      </c>
      <c r="E59" s="168" t="s">
        <v>189</v>
      </c>
      <c r="I59" s="162" t="s">
        <v>207</v>
      </c>
      <c r="J59" s="163"/>
      <c r="K59" s="163"/>
      <c r="L59" s="163"/>
      <c r="M59" s="164"/>
    </row>
    <row r="60" spans="1:13" ht="12.75">
      <c r="A60" s="170" t="s">
        <v>193</v>
      </c>
      <c r="B60" s="144"/>
      <c r="C60" s="170" t="s">
        <v>225</v>
      </c>
      <c r="D60" s="142"/>
      <c r="E60" s="142"/>
      <c r="I60" s="155"/>
      <c r="J60" s="123"/>
      <c r="K60" s="123"/>
      <c r="L60" s="123"/>
      <c r="M60" s="156"/>
    </row>
    <row r="61" spans="9:13" ht="15" thickBot="1">
      <c r="I61" s="157" t="s">
        <v>200</v>
      </c>
      <c r="J61" s="167">
        <f>DPRODUCT(A2:E14,B59,A59:E60)</f>
        <v>180</v>
      </c>
      <c r="K61" s="159"/>
      <c r="L61" s="159" t="s">
        <v>226</v>
      </c>
      <c r="M61" s="160"/>
    </row>
  </sheetData>
  <sheetProtection/>
  <mergeCells count="11">
    <mergeCell ref="I35:M35"/>
    <mergeCell ref="I41:M41"/>
    <mergeCell ref="I47:M47"/>
    <mergeCell ref="I53:M53"/>
    <mergeCell ref="I59:M59"/>
    <mergeCell ref="B1:D1"/>
    <mergeCell ref="B16:D16"/>
    <mergeCell ref="I17:M17"/>
    <mergeCell ref="I21:M21"/>
    <mergeCell ref="I26:M26"/>
    <mergeCell ref="I31:M31"/>
  </mergeCells>
  <printOptions/>
  <pageMargins left="0.75" right="0.75" top="1" bottom="1" header="0.5" footer="0.5"/>
  <pageSetup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</sheetPr>
  <dimension ref="A1:M25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11.00390625" style="122" bestFit="1" customWidth="1"/>
    <col min="2" max="2" width="9.140625" style="122" customWidth="1"/>
    <col min="3" max="3" width="9.57421875" style="122" bestFit="1" customWidth="1"/>
    <col min="4" max="4" width="11.140625" style="122" customWidth="1"/>
    <col min="5" max="6" width="15.57421875" style="122" bestFit="1" customWidth="1"/>
    <col min="7" max="8" width="11.00390625" style="122" bestFit="1" customWidth="1"/>
    <col min="9" max="10" width="9.140625" style="122" customWidth="1"/>
    <col min="11" max="12" width="9.57421875" style="122" bestFit="1" customWidth="1"/>
    <col min="13" max="16384" width="9.140625" style="122" customWidth="1"/>
  </cols>
  <sheetData>
    <row r="1" spans="10:13" ht="12.75">
      <c r="J1" s="123"/>
      <c r="K1" s="123"/>
      <c r="L1" s="123"/>
      <c r="M1" s="123"/>
    </row>
    <row r="2" spans="1:4" ht="13.5" thickBot="1">
      <c r="A2" s="124"/>
      <c r="B2" s="124"/>
      <c r="C2" s="124"/>
      <c r="D2" s="125"/>
    </row>
    <row r="3" spans="1:10" ht="18.75" thickBot="1">
      <c r="A3" s="124"/>
      <c r="B3" s="124"/>
      <c r="C3" s="126" t="s">
        <v>146</v>
      </c>
      <c r="D3" s="127"/>
      <c r="E3" s="127"/>
      <c r="F3" s="127"/>
      <c r="G3" s="127"/>
      <c r="H3" s="127"/>
      <c r="I3" s="127"/>
      <c r="J3" s="128"/>
    </row>
    <row r="4" spans="1:4" ht="13.5" thickBot="1">
      <c r="A4" s="124"/>
      <c r="B4" s="124"/>
      <c r="C4" s="124"/>
      <c r="D4" s="125"/>
    </row>
    <row r="5" spans="1:12" ht="52.5" thickBot="1" thickTop="1">
      <c r="A5" s="129" t="s">
        <v>147</v>
      </c>
      <c r="B5" s="129" t="s">
        <v>148</v>
      </c>
      <c r="C5" s="129" t="s">
        <v>149</v>
      </c>
      <c r="D5" s="129" t="s">
        <v>150</v>
      </c>
      <c r="E5" s="129" t="s">
        <v>151</v>
      </c>
      <c r="F5" s="129" t="s">
        <v>152</v>
      </c>
      <c r="G5" s="129" t="s">
        <v>153</v>
      </c>
      <c r="H5" s="129" t="s">
        <v>154</v>
      </c>
      <c r="I5" s="129" t="s">
        <v>181</v>
      </c>
      <c r="J5" s="129" t="s">
        <v>182</v>
      </c>
      <c r="K5" s="130" t="s">
        <v>157</v>
      </c>
      <c r="L5" s="130" t="s">
        <v>158</v>
      </c>
    </row>
    <row r="6" spans="1:12" ht="13.5" thickTop="1">
      <c r="A6" s="131" t="s">
        <v>159</v>
      </c>
      <c r="B6" s="131" t="s">
        <v>18</v>
      </c>
      <c r="C6" s="131" t="s">
        <v>160</v>
      </c>
      <c r="D6" s="132" t="s">
        <v>183</v>
      </c>
      <c r="E6" s="132" t="s">
        <v>183</v>
      </c>
      <c r="F6" s="133" t="s">
        <v>183</v>
      </c>
      <c r="G6" s="134">
        <v>6</v>
      </c>
      <c r="H6" s="133" t="s">
        <v>183</v>
      </c>
      <c r="I6" s="133" t="s">
        <v>183</v>
      </c>
      <c r="J6" s="133" t="s">
        <v>183</v>
      </c>
      <c r="K6" s="135" t="s">
        <v>183</v>
      </c>
      <c r="L6" s="135" t="s">
        <v>183</v>
      </c>
    </row>
    <row r="7" spans="1:12" ht="12.75">
      <c r="A7" s="136" t="s">
        <v>161</v>
      </c>
      <c r="B7" s="136" t="s">
        <v>18</v>
      </c>
      <c r="C7" s="136" t="s">
        <v>162</v>
      </c>
      <c r="D7" s="132" t="s">
        <v>183</v>
      </c>
      <c r="E7" s="132" t="s">
        <v>183</v>
      </c>
      <c r="F7" s="133" t="s">
        <v>183</v>
      </c>
      <c r="G7" s="134">
        <v>7</v>
      </c>
      <c r="H7" s="133" t="s">
        <v>183</v>
      </c>
      <c r="I7" s="133" t="s">
        <v>183</v>
      </c>
      <c r="J7" s="133" t="s">
        <v>183</v>
      </c>
      <c r="K7" s="135" t="s">
        <v>183</v>
      </c>
      <c r="L7" s="135" t="s">
        <v>183</v>
      </c>
    </row>
    <row r="8" spans="1:12" ht="12.75">
      <c r="A8" s="136" t="s">
        <v>163</v>
      </c>
      <c r="B8" s="136" t="s">
        <v>17</v>
      </c>
      <c r="C8" s="136" t="s">
        <v>164</v>
      </c>
      <c r="D8" s="132" t="s">
        <v>183</v>
      </c>
      <c r="E8" s="132" t="s">
        <v>183</v>
      </c>
      <c r="F8" s="133" t="s">
        <v>183</v>
      </c>
      <c r="G8" s="134">
        <v>5</v>
      </c>
      <c r="H8" s="133" t="s">
        <v>183</v>
      </c>
      <c r="I8" s="133" t="s">
        <v>183</v>
      </c>
      <c r="J8" s="133" t="s">
        <v>183</v>
      </c>
      <c r="K8" s="135" t="s">
        <v>183</v>
      </c>
      <c r="L8" s="135" t="s">
        <v>183</v>
      </c>
    </row>
    <row r="9" spans="1:12" ht="12.75">
      <c r="A9" s="136" t="s">
        <v>165</v>
      </c>
      <c r="B9" s="136" t="s">
        <v>18</v>
      </c>
      <c r="C9" s="136" t="s">
        <v>166</v>
      </c>
      <c r="D9" s="132" t="s">
        <v>183</v>
      </c>
      <c r="E9" s="132" t="s">
        <v>183</v>
      </c>
      <c r="F9" s="133" t="s">
        <v>183</v>
      </c>
      <c r="G9" s="134">
        <v>8</v>
      </c>
      <c r="H9" s="133" t="s">
        <v>183</v>
      </c>
      <c r="I9" s="133" t="s">
        <v>183</v>
      </c>
      <c r="J9" s="133" t="s">
        <v>183</v>
      </c>
      <c r="K9" s="135" t="s">
        <v>183</v>
      </c>
      <c r="L9" s="135" t="s">
        <v>183</v>
      </c>
    </row>
    <row r="10" spans="1:12" ht="12.75">
      <c r="A10" s="136" t="s">
        <v>167</v>
      </c>
      <c r="B10" s="136" t="s">
        <v>18</v>
      </c>
      <c r="C10" s="136" t="s">
        <v>168</v>
      </c>
      <c r="D10" s="132" t="s">
        <v>183</v>
      </c>
      <c r="E10" s="132" t="s">
        <v>183</v>
      </c>
      <c r="F10" s="133" t="s">
        <v>183</v>
      </c>
      <c r="G10" s="134">
        <v>0</v>
      </c>
      <c r="H10" s="133" t="s">
        <v>183</v>
      </c>
      <c r="I10" s="133" t="s">
        <v>183</v>
      </c>
      <c r="J10" s="133" t="s">
        <v>183</v>
      </c>
      <c r="K10" s="135" t="s">
        <v>183</v>
      </c>
      <c r="L10" s="135" t="s">
        <v>183</v>
      </c>
    </row>
    <row r="11" spans="1:12" ht="12.75">
      <c r="A11" s="136" t="s">
        <v>169</v>
      </c>
      <c r="B11" s="136" t="s">
        <v>18</v>
      </c>
      <c r="C11" s="136" t="s">
        <v>160</v>
      </c>
      <c r="D11" s="132" t="s">
        <v>183</v>
      </c>
      <c r="E11" s="132" t="s">
        <v>183</v>
      </c>
      <c r="F11" s="133" t="s">
        <v>183</v>
      </c>
      <c r="G11" s="134">
        <v>4</v>
      </c>
      <c r="H11" s="133" t="s">
        <v>183</v>
      </c>
      <c r="I11" s="133" t="s">
        <v>183</v>
      </c>
      <c r="J11" s="133" t="s">
        <v>183</v>
      </c>
      <c r="K11" s="135" t="s">
        <v>183</v>
      </c>
      <c r="L11" s="135" t="s">
        <v>183</v>
      </c>
    </row>
    <row r="12" spans="1:12" ht="12.75">
      <c r="A12" s="136" t="s">
        <v>170</v>
      </c>
      <c r="B12" s="136" t="s">
        <v>18</v>
      </c>
      <c r="C12" s="136" t="s">
        <v>166</v>
      </c>
      <c r="D12" s="132" t="s">
        <v>183</v>
      </c>
      <c r="E12" s="132" t="s">
        <v>183</v>
      </c>
      <c r="F12" s="133" t="s">
        <v>183</v>
      </c>
      <c r="G12" s="134">
        <v>6</v>
      </c>
      <c r="H12" s="133" t="s">
        <v>183</v>
      </c>
      <c r="I12" s="133" t="s">
        <v>183</v>
      </c>
      <c r="J12" s="133" t="s">
        <v>183</v>
      </c>
      <c r="K12" s="135" t="s">
        <v>183</v>
      </c>
      <c r="L12" s="135" t="s">
        <v>183</v>
      </c>
    </row>
    <row r="13" spans="1:12" ht="12.75">
      <c r="A13" s="136" t="s">
        <v>171</v>
      </c>
      <c r="B13" s="136" t="s">
        <v>18</v>
      </c>
      <c r="C13" s="136" t="s">
        <v>164</v>
      </c>
      <c r="D13" s="132" t="s">
        <v>183</v>
      </c>
      <c r="E13" s="132" t="s">
        <v>183</v>
      </c>
      <c r="F13" s="133" t="s">
        <v>183</v>
      </c>
      <c r="G13" s="134">
        <v>7</v>
      </c>
      <c r="H13" s="133" t="s">
        <v>183</v>
      </c>
      <c r="I13" s="133" t="s">
        <v>183</v>
      </c>
      <c r="J13" s="133" t="s">
        <v>183</v>
      </c>
      <c r="K13" s="135" t="s">
        <v>183</v>
      </c>
      <c r="L13" s="135" t="s">
        <v>183</v>
      </c>
    </row>
    <row r="14" spans="1:12" ht="12.75">
      <c r="A14" s="136" t="s">
        <v>172</v>
      </c>
      <c r="B14" s="136" t="s">
        <v>17</v>
      </c>
      <c r="C14" s="136" t="s">
        <v>162</v>
      </c>
      <c r="D14" s="132" t="s">
        <v>183</v>
      </c>
      <c r="E14" s="132" t="s">
        <v>183</v>
      </c>
      <c r="F14" s="133" t="s">
        <v>183</v>
      </c>
      <c r="G14" s="134">
        <v>2</v>
      </c>
      <c r="H14" s="133" t="s">
        <v>183</v>
      </c>
      <c r="I14" s="133" t="s">
        <v>183</v>
      </c>
      <c r="J14" s="133" t="s">
        <v>183</v>
      </c>
      <c r="K14" s="135" t="s">
        <v>183</v>
      </c>
      <c r="L14" s="135" t="s">
        <v>183</v>
      </c>
    </row>
    <row r="15" spans="1:12" ht="12.75">
      <c r="A15" s="136" t="s">
        <v>173</v>
      </c>
      <c r="B15" s="136" t="s">
        <v>17</v>
      </c>
      <c r="C15" s="136" t="s">
        <v>166</v>
      </c>
      <c r="D15" s="132" t="s">
        <v>183</v>
      </c>
      <c r="E15" s="132" t="s">
        <v>183</v>
      </c>
      <c r="F15" s="133" t="s">
        <v>183</v>
      </c>
      <c r="G15" s="134">
        <v>8</v>
      </c>
      <c r="H15" s="133" t="s">
        <v>183</v>
      </c>
      <c r="I15" s="133" t="s">
        <v>183</v>
      </c>
      <c r="J15" s="133" t="s">
        <v>183</v>
      </c>
      <c r="K15" s="135" t="s">
        <v>183</v>
      </c>
      <c r="L15" s="135" t="s">
        <v>183</v>
      </c>
    </row>
    <row r="16" ht="12.75"/>
    <row r="17" ht="12.75"/>
    <row r="18" ht="12.75"/>
    <row r="19" spans="1:11" ht="12.75">
      <c r="A19" s="137" t="s">
        <v>124</v>
      </c>
      <c r="B19" s="137"/>
      <c r="F19" s="138" t="s">
        <v>174</v>
      </c>
      <c r="G19" s="139"/>
      <c r="H19" s="139"/>
      <c r="I19" s="139"/>
      <c r="J19" s="140"/>
      <c r="K19" s="141" t="s">
        <v>183</v>
      </c>
    </row>
    <row r="20" spans="1:11" ht="12.75">
      <c r="A20" s="142"/>
      <c r="B20" s="142"/>
      <c r="F20" s="138" t="s">
        <v>175</v>
      </c>
      <c r="G20" s="139"/>
      <c r="H20" s="139"/>
      <c r="I20" s="139"/>
      <c r="J20" s="140"/>
      <c r="K20" s="141" t="s">
        <v>183</v>
      </c>
    </row>
    <row r="21" spans="1:11" ht="12.75">
      <c r="A21" s="136" t="s">
        <v>162</v>
      </c>
      <c r="B21" s="142"/>
      <c r="F21" s="138" t="s">
        <v>176</v>
      </c>
      <c r="G21" s="139"/>
      <c r="H21" s="139"/>
      <c r="I21" s="139"/>
      <c r="J21" s="140"/>
      <c r="K21" s="141" t="s">
        <v>183</v>
      </c>
    </row>
    <row r="22" spans="1:11" ht="12.75">
      <c r="A22" s="136" t="s">
        <v>168</v>
      </c>
      <c r="B22" s="142"/>
      <c r="F22" s="138" t="s">
        <v>177</v>
      </c>
      <c r="G22" s="139"/>
      <c r="H22" s="139"/>
      <c r="I22" s="139"/>
      <c r="J22" s="140"/>
      <c r="K22" s="141" t="s">
        <v>183</v>
      </c>
    </row>
    <row r="23" spans="1:2" ht="12.75">
      <c r="A23" s="142" t="s">
        <v>178</v>
      </c>
      <c r="B23" s="142"/>
    </row>
    <row r="24" spans="1:2" ht="12.75">
      <c r="A24" s="144" t="s">
        <v>179</v>
      </c>
      <c r="B24" s="142"/>
    </row>
    <row r="25" spans="1:2" ht="12.75">
      <c r="A25" s="144" t="s">
        <v>180</v>
      </c>
      <c r="B25" s="142"/>
    </row>
  </sheetData>
  <sheetProtection/>
  <mergeCells count="6">
    <mergeCell ref="C3:J3"/>
    <mergeCell ref="A19:B19"/>
    <mergeCell ref="F19:J19"/>
    <mergeCell ref="F20:J20"/>
    <mergeCell ref="F21:J21"/>
    <mergeCell ref="F22:J22"/>
  </mergeCells>
  <dataValidations count="1">
    <dataValidation allowBlank="1" showInputMessage="1" showErrorMessage="1" errorTitle="ציון שגוי" error="הקלד/י ציון בין 0-100" sqref="F6:F15 H6:H15"/>
  </dataValidations>
  <printOptions/>
  <pageMargins left="0.75" right="0.75" top="1" bottom="1" header="0.5" footer="0.5"/>
  <pageSetup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שי שקרוב</dc:creator>
  <cp:keywords/>
  <dc:description/>
  <cp:lastModifiedBy>shysh</cp:lastModifiedBy>
  <cp:lastPrinted>2008-12-08T10:36:49Z</cp:lastPrinted>
  <dcterms:created xsi:type="dcterms:W3CDTF">2001-05-22T06:09:44Z</dcterms:created>
  <dcterms:modified xsi:type="dcterms:W3CDTF">2009-12-06T15:30:13Z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