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TA\מבוא לטכנולוגיות מידע\הרצאות\05-Excel\"/>
    </mc:Choice>
  </mc:AlternateContent>
  <bookViews>
    <workbookView xWindow="-450" yWindow="-15" windowWidth="9690" windowHeight="6285" tabRatio="804"/>
  </bookViews>
  <sheets>
    <sheet name="1-13" sheetId="79" r:id="rId1"/>
    <sheet name="14-16" sheetId="80" r:id="rId2"/>
    <sheet name="17-18" sheetId="81" r:id="rId3"/>
    <sheet name="פתרון 17-18" sheetId="85" r:id="rId4"/>
    <sheet name="19-23" sheetId="86" r:id="rId5"/>
    <sheet name="פתרון 19-23" sheetId="87" r:id="rId6"/>
    <sheet name="24" sheetId="88" r:id="rId7"/>
    <sheet name="פתרון 24" sheetId="89" r:id="rId8"/>
    <sheet name="25-29" sheetId="90" r:id="rId9"/>
    <sheet name="30-33" sheetId="91" r:id="rId10"/>
    <sheet name="פתרון 25-33" sheetId="92" r:id="rId11"/>
    <sheet name="34-45" sheetId="93" r:id="rId12"/>
    <sheet name="46-51" sheetId="94" r:id="rId13"/>
    <sheet name="פתרון 34-51" sheetId="95" r:id="rId14"/>
  </sheets>
  <externalReferences>
    <externalReference r:id="rId15"/>
  </externalReferences>
  <definedNames>
    <definedName name="_xlnm._FilterDatabase" localSheetId="0" hidden="1">'1-13'!$C$3:$O$13</definedName>
    <definedName name="_xlnm._FilterDatabase" localSheetId="1" hidden="1">'14-16'!$C$3:$O$13</definedName>
    <definedName name="_xlnm._FilterDatabase" localSheetId="2" hidden="1">'17-18'!$C$3:$O$13</definedName>
    <definedName name="_xlnm._FilterDatabase" localSheetId="6" hidden="1">'24'!$D$3:$P$13</definedName>
    <definedName name="_xlnm._FilterDatabase" localSheetId="3" hidden="1">'פתרון 17-18'!$C$3:$O$13</definedName>
    <definedName name="_xlnm._FilterDatabase" localSheetId="7" hidden="1">'פתרון 24'!$D$3:$P$13</definedName>
    <definedName name="HTML_CodePage" hidden="1">1255</definedName>
    <definedName name="HTML_Control" localSheetId="0" hidden="1">{"'כל המועדים'!$G$6:$I$12"}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localSheetId="4" hidden="1">{"'כל המועדים'!$G$6:$I$12"}</definedName>
    <definedName name="HTML_Control" localSheetId="6" hidden="1">{"'כל המועדים'!$G$6:$I$12"}</definedName>
    <definedName name="HTML_Control" localSheetId="3" hidden="1">{"'כל המועדים'!$G$6:$I$12"}</definedName>
    <definedName name="HTML_Control" localSheetId="5" hidden="1">{"'כל המועדים'!$G$6:$I$12"}</definedName>
    <definedName name="HTML_Control" localSheetId="7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</definedNames>
  <calcPr calcId="152511"/>
</workbook>
</file>

<file path=xl/calcChain.xml><?xml version="1.0" encoding="utf-8"?>
<calcChain xmlns="http://schemas.openxmlformats.org/spreadsheetml/2006/main">
  <c r="B4" i="95" l="1"/>
  <c r="C4" i="95"/>
  <c r="D4" i="95"/>
  <c r="H4" i="95" s="1"/>
  <c r="I4" i="95" s="1"/>
  <c r="F4" i="95"/>
  <c r="G4" i="95"/>
  <c r="L4" i="95"/>
  <c r="M4" i="95"/>
  <c r="O4" i="95"/>
  <c r="P4" i="95"/>
  <c r="Q4" i="95"/>
  <c r="R4" i="95"/>
  <c r="S4" i="95"/>
  <c r="T4" i="95"/>
  <c r="U4" i="95"/>
  <c r="B5" i="95"/>
  <c r="H5" i="95" s="1"/>
  <c r="I5" i="95" s="1"/>
  <c r="C5" i="95"/>
  <c r="D5" i="95"/>
  <c r="F5" i="95"/>
  <c r="G5" i="95"/>
  <c r="M5" i="95"/>
  <c r="L5" i="95" s="1"/>
  <c r="O5" i="95"/>
  <c r="P5" i="95"/>
  <c r="Q5" i="95"/>
  <c r="R5" i="95"/>
  <c r="S5" i="95"/>
  <c r="T5" i="95"/>
  <c r="U5" i="95"/>
  <c r="B6" i="95"/>
  <c r="H6" i="95" s="1"/>
  <c r="I6" i="95" s="1"/>
  <c r="C6" i="95"/>
  <c r="D6" i="95"/>
  <c r="F6" i="95"/>
  <c r="G6" i="95"/>
  <c r="M6" i="95"/>
  <c r="L6" i="95" s="1"/>
  <c r="O6" i="95"/>
  <c r="P6" i="95"/>
  <c r="Q6" i="95"/>
  <c r="R6" i="95"/>
  <c r="S6" i="95"/>
  <c r="T6" i="95"/>
  <c r="U6" i="95"/>
  <c r="B7" i="95"/>
  <c r="H7" i="95" s="1"/>
  <c r="I7" i="95" s="1"/>
  <c r="C7" i="95"/>
  <c r="D7" i="95"/>
  <c r="F7" i="95"/>
  <c r="G7" i="95"/>
  <c r="M7" i="95"/>
  <c r="L7" i="95" s="1"/>
  <c r="O7" i="95"/>
  <c r="P7" i="95"/>
  <c r="Q7" i="95"/>
  <c r="R7" i="95"/>
  <c r="S7" i="95"/>
  <c r="T7" i="95"/>
  <c r="U7" i="95"/>
  <c r="B8" i="95"/>
  <c r="H8" i="95" s="1"/>
  <c r="I8" i="95" s="1"/>
  <c r="C8" i="95"/>
  <c r="D8" i="95"/>
  <c r="F8" i="95"/>
  <c r="G8" i="95"/>
  <c r="M8" i="95"/>
  <c r="L8" i="95" s="1"/>
  <c r="O8" i="95"/>
  <c r="P8" i="95"/>
  <c r="Q8" i="95"/>
  <c r="R8" i="95"/>
  <c r="S8" i="95"/>
  <c r="T8" i="95"/>
  <c r="U8" i="95"/>
  <c r="B9" i="95"/>
  <c r="G9" i="95" s="1"/>
  <c r="C9" i="95"/>
  <c r="D9" i="95"/>
  <c r="F9" i="95"/>
  <c r="M9" i="95"/>
  <c r="L9" i="95" s="1"/>
  <c r="O9" i="95"/>
  <c r="P9" i="95"/>
  <c r="Q9" i="95"/>
  <c r="R9" i="95"/>
  <c r="S9" i="95"/>
  <c r="T9" i="95"/>
  <c r="U9" i="95"/>
  <c r="B10" i="95"/>
  <c r="H10" i="95" s="1"/>
  <c r="I10" i="95" s="1"/>
  <c r="C10" i="95"/>
  <c r="D10" i="95"/>
  <c r="F10" i="95"/>
  <c r="G10" i="95"/>
  <c r="M10" i="95"/>
  <c r="L10" i="95" s="1"/>
  <c r="O10" i="95"/>
  <c r="P10" i="95"/>
  <c r="Q10" i="95"/>
  <c r="R10" i="95"/>
  <c r="S10" i="95"/>
  <c r="T10" i="95"/>
  <c r="U10" i="95"/>
  <c r="B11" i="95"/>
  <c r="H11" i="95" s="1"/>
  <c r="I11" i="95" s="1"/>
  <c r="C11" i="95"/>
  <c r="D11" i="95"/>
  <c r="F11" i="95"/>
  <c r="G11" i="95"/>
  <c r="M11" i="95"/>
  <c r="L11" i="95" s="1"/>
  <c r="O11" i="95"/>
  <c r="P11" i="95"/>
  <c r="Q11" i="95"/>
  <c r="R11" i="95"/>
  <c r="S11" i="95"/>
  <c r="T11" i="95"/>
  <c r="U11" i="95"/>
  <c r="B12" i="95"/>
  <c r="H12" i="95" s="1"/>
  <c r="C12" i="95"/>
  <c r="D12" i="95"/>
  <c r="F12" i="95"/>
  <c r="M12" i="95"/>
  <c r="L12" i="95" s="1"/>
  <c r="O12" i="95"/>
  <c r="P12" i="95"/>
  <c r="Q12" i="95"/>
  <c r="R12" i="95"/>
  <c r="S12" i="95"/>
  <c r="T12" i="95"/>
  <c r="U12" i="95"/>
  <c r="B13" i="95"/>
  <c r="H13" i="95" s="1"/>
  <c r="C13" i="95"/>
  <c r="D13" i="95"/>
  <c r="F13" i="95"/>
  <c r="M13" i="95"/>
  <c r="L13" i="95" s="1"/>
  <c r="O13" i="95"/>
  <c r="P13" i="95"/>
  <c r="Q13" i="95"/>
  <c r="R13" i="95"/>
  <c r="S13" i="95"/>
  <c r="T13" i="95"/>
  <c r="U13" i="95"/>
  <c r="B14" i="95"/>
  <c r="H14" i="95" s="1"/>
  <c r="I14" i="95" s="1"/>
  <c r="C14" i="95"/>
  <c r="D14" i="95"/>
  <c r="F14" i="95"/>
  <c r="G14" i="95"/>
  <c r="M14" i="95"/>
  <c r="L14" i="95" s="1"/>
  <c r="O14" i="95"/>
  <c r="P14" i="95"/>
  <c r="Q14" i="95"/>
  <c r="R14" i="95"/>
  <c r="S14" i="95"/>
  <c r="T14" i="95"/>
  <c r="U14" i="95"/>
  <c r="B15" i="95"/>
  <c r="H15" i="95" s="1"/>
  <c r="I15" i="95" s="1"/>
  <c r="C15" i="95"/>
  <c r="D15" i="95"/>
  <c r="F15" i="95"/>
  <c r="G15" i="95"/>
  <c r="M15" i="95"/>
  <c r="L15" i="95" s="1"/>
  <c r="O15" i="95"/>
  <c r="P15" i="95"/>
  <c r="Q15" i="95"/>
  <c r="R15" i="95"/>
  <c r="S15" i="95"/>
  <c r="T15" i="95"/>
  <c r="U15" i="95"/>
  <c r="B16" i="95"/>
  <c r="H16" i="95" s="1"/>
  <c r="C16" i="95"/>
  <c r="D16" i="95"/>
  <c r="F16" i="95"/>
  <c r="M16" i="95"/>
  <c r="L16" i="95" s="1"/>
  <c r="O16" i="95"/>
  <c r="P16" i="95"/>
  <c r="Q16" i="95"/>
  <c r="R16" i="95"/>
  <c r="S16" i="95"/>
  <c r="T16" i="95"/>
  <c r="U16" i="95"/>
  <c r="B4" i="94"/>
  <c r="H4" i="94" s="1"/>
  <c r="C4" i="94"/>
  <c r="D4" i="94"/>
  <c r="F4" i="94"/>
  <c r="M4" i="94"/>
  <c r="L4" i="94" s="1"/>
  <c r="O4" i="94"/>
  <c r="B5" i="94"/>
  <c r="G5" i="94" s="1"/>
  <c r="C5" i="94"/>
  <c r="F5" i="94" s="1"/>
  <c r="D5" i="94"/>
  <c r="H5" i="94" s="1"/>
  <c r="I5" i="94" s="1"/>
  <c r="M5" i="94"/>
  <c r="L5" i="94" s="1"/>
  <c r="O5" i="94"/>
  <c r="B6" i="94"/>
  <c r="H6" i="94" s="1"/>
  <c r="C6" i="94"/>
  <c r="D6" i="94"/>
  <c r="F6" i="94"/>
  <c r="M6" i="94"/>
  <c r="L6" i="94" s="1"/>
  <c r="O6" i="94"/>
  <c r="B7" i="94"/>
  <c r="C7" i="94"/>
  <c r="F7" i="94" s="1"/>
  <c r="D7" i="94"/>
  <c r="H7" i="94" s="1"/>
  <c r="M7" i="94"/>
  <c r="L7" i="94" s="1"/>
  <c r="O7" i="94"/>
  <c r="B8" i="94"/>
  <c r="H8" i="94" s="1"/>
  <c r="I8" i="94" s="1"/>
  <c r="C8" i="94"/>
  <c r="D8" i="94"/>
  <c r="F8" i="94"/>
  <c r="G8" i="94"/>
  <c r="M8" i="94"/>
  <c r="L8" i="94" s="1"/>
  <c r="O8" i="94"/>
  <c r="B9" i="94"/>
  <c r="C9" i="94"/>
  <c r="F9" i="94" s="1"/>
  <c r="D9" i="94"/>
  <c r="H9" i="94" s="1"/>
  <c r="M9" i="94"/>
  <c r="L9" i="94" s="1"/>
  <c r="O9" i="94"/>
  <c r="B10" i="94"/>
  <c r="H10" i="94" s="1"/>
  <c r="I10" i="94" s="1"/>
  <c r="C10" i="94"/>
  <c r="D10" i="94"/>
  <c r="F10" i="94"/>
  <c r="G10" i="94"/>
  <c r="M10" i="94"/>
  <c r="L10" i="94" s="1"/>
  <c r="O10" i="94"/>
  <c r="B11" i="94"/>
  <c r="C11" i="94"/>
  <c r="F11" i="94" s="1"/>
  <c r="D11" i="94"/>
  <c r="H11" i="94" s="1"/>
  <c r="M11" i="94"/>
  <c r="L11" i="94" s="1"/>
  <c r="O11" i="94"/>
  <c r="B12" i="94"/>
  <c r="H12" i="94" s="1"/>
  <c r="I12" i="94" s="1"/>
  <c r="C12" i="94"/>
  <c r="D12" i="94"/>
  <c r="F12" i="94"/>
  <c r="G12" i="94"/>
  <c r="M12" i="94"/>
  <c r="L12" i="94" s="1"/>
  <c r="O12" i="94"/>
  <c r="B13" i="94"/>
  <c r="C13" i="94"/>
  <c r="F13" i="94" s="1"/>
  <c r="D13" i="94"/>
  <c r="M13" i="94"/>
  <c r="L13" i="94" s="1"/>
  <c r="O13" i="94"/>
  <c r="B14" i="94"/>
  <c r="H14" i="94" s="1"/>
  <c r="C14" i="94"/>
  <c r="D14" i="94"/>
  <c r="F14" i="94"/>
  <c r="M14" i="94"/>
  <c r="L14" i="94" s="1"/>
  <c r="O14" i="94"/>
  <c r="B15" i="94"/>
  <c r="C15" i="94"/>
  <c r="F15" i="94" s="1"/>
  <c r="D15" i="94"/>
  <c r="H15" i="94" s="1"/>
  <c r="M15" i="94"/>
  <c r="L15" i="94" s="1"/>
  <c r="O15" i="94"/>
  <c r="B16" i="94"/>
  <c r="H16" i="94" s="1"/>
  <c r="I16" i="94" s="1"/>
  <c r="C16" i="94"/>
  <c r="D16" i="94"/>
  <c r="F16" i="94"/>
  <c r="G16" i="94"/>
  <c r="M16" i="94"/>
  <c r="L16" i="94" s="1"/>
  <c r="O16" i="94"/>
  <c r="B1" i="92"/>
  <c r="F1" i="92"/>
  <c r="A5" i="92"/>
  <c r="D5" i="92"/>
  <c r="G5" i="92"/>
  <c r="H5" i="92"/>
  <c r="A6" i="92"/>
  <c r="D6" i="92"/>
  <c r="G6" i="92"/>
  <c r="H6" i="92"/>
  <c r="A7" i="92"/>
  <c r="D7" i="92"/>
  <c r="G7" i="92"/>
  <c r="H7" i="92"/>
  <c r="A8" i="92"/>
  <c r="D8" i="92"/>
  <c r="G8" i="92"/>
  <c r="H8" i="92"/>
  <c r="A9" i="92"/>
  <c r="D9" i="92"/>
  <c r="G9" i="92"/>
  <c r="H9" i="92"/>
  <c r="A10" i="92"/>
  <c r="D10" i="92"/>
  <c r="G10" i="92"/>
  <c r="H10" i="92"/>
  <c r="A11" i="92"/>
  <c r="D11" i="92"/>
  <c r="G11" i="92"/>
  <c r="H11" i="92"/>
  <c r="A12" i="92"/>
  <c r="D12" i="92"/>
  <c r="G12" i="92"/>
  <c r="H12" i="92"/>
  <c r="A13" i="92"/>
  <c r="D13" i="92"/>
  <c r="G13" i="92"/>
  <c r="H13" i="92"/>
  <c r="A14" i="92"/>
  <c r="D14" i="92"/>
  <c r="G14" i="92"/>
  <c r="H14" i="92"/>
  <c r="B1" i="91"/>
  <c r="F1" i="91"/>
  <c r="A5" i="91"/>
  <c r="D5" i="91"/>
  <c r="G5" i="91"/>
  <c r="H5" i="91"/>
  <c r="A6" i="91"/>
  <c r="D6" i="91"/>
  <c r="G6" i="91"/>
  <c r="H6" i="91"/>
  <c r="A7" i="91"/>
  <c r="D7" i="91"/>
  <c r="G7" i="91"/>
  <c r="H7" i="91"/>
  <c r="A8" i="91"/>
  <c r="D8" i="91"/>
  <c r="G8" i="91"/>
  <c r="H8" i="91"/>
  <c r="A9" i="91"/>
  <c r="D9" i="91"/>
  <c r="G9" i="91"/>
  <c r="H9" i="91"/>
  <c r="A10" i="91"/>
  <c r="D10" i="91"/>
  <c r="G10" i="91"/>
  <c r="H10" i="91"/>
  <c r="A11" i="91"/>
  <c r="D11" i="91"/>
  <c r="G11" i="91"/>
  <c r="H11" i="91"/>
  <c r="A12" i="91"/>
  <c r="D12" i="91"/>
  <c r="G12" i="91"/>
  <c r="H12" i="91"/>
  <c r="A13" i="91"/>
  <c r="D13" i="91"/>
  <c r="G13" i="91"/>
  <c r="H13" i="91"/>
  <c r="A14" i="91"/>
  <c r="D14" i="91"/>
  <c r="G14" i="91"/>
  <c r="H14" i="91"/>
  <c r="I14" i="94" l="1"/>
  <c r="G6" i="94"/>
  <c r="I6" i="94" s="1"/>
  <c r="G16" i="95"/>
  <c r="I16" i="95" s="1"/>
  <c r="G12" i="95"/>
  <c r="I12" i="95" s="1"/>
  <c r="G13" i="94"/>
  <c r="G11" i="94"/>
  <c r="I11" i="94" s="1"/>
  <c r="G9" i="94"/>
  <c r="I9" i="94" s="1"/>
  <c r="G14" i="94"/>
  <c r="G4" i="94"/>
  <c r="I4" i="94" s="1"/>
  <c r="G13" i="95"/>
  <c r="I13" i="95" s="1"/>
  <c r="H13" i="94"/>
  <c r="I13" i="94" s="1"/>
  <c r="G15" i="94"/>
  <c r="I15" i="94" s="1"/>
  <c r="G7" i="94"/>
  <c r="I7" i="94" s="1"/>
  <c r="H9" i="95"/>
  <c r="I9" i="95" s="1"/>
  <c r="D48" i="89" l="1"/>
  <c r="D42" i="89"/>
  <c r="N28" i="89" s="1"/>
  <c r="D37" i="89"/>
  <c r="N30" i="89"/>
  <c r="M30" i="89"/>
  <c r="K30" i="89"/>
  <c r="J30" i="89"/>
  <c r="I30" i="89"/>
  <c r="E30" i="89"/>
  <c r="D30" i="89"/>
  <c r="N29" i="89"/>
  <c r="M29" i="89"/>
  <c r="K29" i="89"/>
  <c r="J29" i="89"/>
  <c r="I29" i="89"/>
  <c r="E29" i="89"/>
  <c r="D29" i="89"/>
  <c r="O28" i="89"/>
  <c r="K28" i="89"/>
  <c r="E28" i="89"/>
  <c r="O27" i="89"/>
  <c r="N27" i="89"/>
  <c r="M27" i="89"/>
  <c r="K27" i="89"/>
  <c r="J27" i="89"/>
  <c r="I27" i="89"/>
  <c r="D27" i="89"/>
  <c r="O26" i="89"/>
  <c r="K26" i="89"/>
  <c r="D26" i="89"/>
  <c r="O25" i="89"/>
  <c r="K25" i="89"/>
  <c r="I25" i="89"/>
  <c r="N24" i="89"/>
  <c r="J24" i="89"/>
  <c r="N23" i="89"/>
  <c r="M23" i="89"/>
  <c r="K23" i="89"/>
  <c r="J23" i="89"/>
  <c r="I23" i="89"/>
  <c r="N22" i="89"/>
  <c r="M22" i="89"/>
  <c r="K22" i="89"/>
  <c r="J22" i="89"/>
  <c r="I22" i="89"/>
  <c r="O21" i="89"/>
  <c r="N21" i="89"/>
  <c r="M21" i="89"/>
  <c r="K21" i="89"/>
  <c r="J21" i="89"/>
  <c r="I21" i="89"/>
  <c r="N20" i="89"/>
  <c r="M20" i="89"/>
  <c r="K20" i="89"/>
  <c r="J20" i="89"/>
  <c r="I20" i="89"/>
  <c r="N19" i="89"/>
  <c r="M19" i="89"/>
  <c r="K19" i="89"/>
  <c r="J19" i="89"/>
  <c r="I19" i="89"/>
  <c r="N18" i="89"/>
  <c r="M18" i="89"/>
  <c r="K18" i="89"/>
  <c r="J18" i="89"/>
  <c r="I18" i="89"/>
  <c r="O17" i="89"/>
  <c r="N17" i="89"/>
  <c r="M17" i="89"/>
  <c r="K17" i="89"/>
  <c r="J17" i="89"/>
  <c r="I17" i="89"/>
  <c r="N16" i="89"/>
  <c r="M16" i="89"/>
  <c r="K16" i="89"/>
  <c r="J16" i="89"/>
  <c r="I16" i="89"/>
  <c r="N15" i="89"/>
  <c r="M15" i="89"/>
  <c r="K15" i="89"/>
  <c r="J15" i="89"/>
  <c r="I15" i="89"/>
  <c r="O13" i="89"/>
  <c r="T13" i="89" s="1"/>
  <c r="L13" i="89"/>
  <c r="O12" i="89"/>
  <c r="T12" i="89" s="1"/>
  <c r="L12" i="89"/>
  <c r="O11" i="89"/>
  <c r="U11" i="89" s="1"/>
  <c r="L11" i="89"/>
  <c r="O10" i="89"/>
  <c r="U10" i="89" s="1"/>
  <c r="L10" i="89"/>
  <c r="O9" i="89"/>
  <c r="U9" i="89" s="1"/>
  <c r="L9" i="89"/>
  <c r="O8" i="89"/>
  <c r="U8" i="89" s="1"/>
  <c r="L8" i="89"/>
  <c r="O7" i="89"/>
  <c r="U7" i="89" s="1"/>
  <c r="L7" i="89"/>
  <c r="O6" i="89"/>
  <c r="U6" i="89" s="1"/>
  <c r="L6" i="89"/>
  <c r="O5" i="89"/>
  <c r="U5" i="89" s="1"/>
  <c r="L5" i="89"/>
  <c r="L30" i="89" s="1"/>
  <c r="O4" i="89"/>
  <c r="O22" i="89" s="1"/>
  <c r="L4" i="89"/>
  <c r="L23" i="89" s="1"/>
  <c r="D42" i="88"/>
  <c r="N28" i="88" s="1"/>
  <c r="D37" i="88"/>
  <c r="N30" i="88"/>
  <c r="M30" i="88"/>
  <c r="K30" i="88"/>
  <c r="J30" i="88"/>
  <c r="I30" i="88"/>
  <c r="E30" i="88"/>
  <c r="D30" i="88"/>
  <c r="N29" i="88"/>
  <c r="M29" i="88"/>
  <c r="K29" i="88"/>
  <c r="J29" i="88"/>
  <c r="I29" i="88"/>
  <c r="E29" i="88"/>
  <c r="D29" i="88"/>
  <c r="K28" i="88"/>
  <c r="E28" i="88"/>
  <c r="N27" i="88"/>
  <c r="M27" i="88"/>
  <c r="K27" i="88"/>
  <c r="J27" i="88"/>
  <c r="I27" i="88"/>
  <c r="D27" i="88"/>
  <c r="K26" i="88"/>
  <c r="D26" i="88"/>
  <c r="K25" i="88"/>
  <c r="I25" i="88"/>
  <c r="N24" i="88"/>
  <c r="J24" i="88"/>
  <c r="N23" i="88"/>
  <c r="M23" i="88"/>
  <c r="K23" i="88"/>
  <c r="J23" i="88"/>
  <c r="I23" i="88"/>
  <c r="N22" i="88"/>
  <c r="M22" i="88"/>
  <c r="K22" i="88"/>
  <c r="J22" i="88"/>
  <c r="I22" i="88"/>
  <c r="N21" i="88"/>
  <c r="M21" i="88"/>
  <c r="K21" i="88"/>
  <c r="J21" i="88"/>
  <c r="I21" i="88"/>
  <c r="N20" i="88"/>
  <c r="M20" i="88"/>
  <c r="K20" i="88"/>
  <c r="J20" i="88"/>
  <c r="I20" i="88"/>
  <c r="N19" i="88"/>
  <c r="M19" i="88"/>
  <c r="K19" i="88"/>
  <c r="J19" i="88"/>
  <c r="I19" i="88"/>
  <c r="N18" i="88"/>
  <c r="M18" i="88"/>
  <c r="K18" i="88"/>
  <c r="J18" i="88"/>
  <c r="I18" i="88"/>
  <c r="N17" i="88"/>
  <c r="M17" i="88"/>
  <c r="K17" i="88"/>
  <c r="J17" i="88"/>
  <c r="I17" i="88"/>
  <c r="N16" i="88"/>
  <c r="M16" i="88"/>
  <c r="K16" i="88"/>
  <c r="J16" i="88"/>
  <c r="I16" i="88"/>
  <c r="N15" i="88"/>
  <c r="M15" i="88"/>
  <c r="K15" i="88"/>
  <c r="J15" i="88"/>
  <c r="I15" i="88"/>
  <c r="O13" i="88"/>
  <c r="L13" i="88"/>
  <c r="O12" i="88"/>
  <c r="L12" i="88"/>
  <c r="O11" i="88"/>
  <c r="L11" i="88"/>
  <c r="O10" i="88"/>
  <c r="L10" i="88"/>
  <c r="O9" i="88"/>
  <c r="L9" i="88"/>
  <c r="O8" i="88"/>
  <c r="U8" i="88" s="1"/>
  <c r="L8" i="88"/>
  <c r="O7" i="88"/>
  <c r="L7" i="88"/>
  <c r="O6" i="88"/>
  <c r="O27" i="88" s="1"/>
  <c r="L6" i="88"/>
  <c r="O5" i="88"/>
  <c r="L5" i="88"/>
  <c r="O4" i="88"/>
  <c r="O22" i="88" s="1"/>
  <c r="L4" i="88"/>
  <c r="L23" i="88" s="1"/>
  <c r="C2" i="87"/>
  <c r="C3" i="87"/>
  <c r="C7" i="87"/>
  <c r="C9" i="87"/>
  <c r="S5" i="89" l="1"/>
  <c r="S8" i="89"/>
  <c r="S9" i="89"/>
  <c r="S10" i="89"/>
  <c r="S11" i="89"/>
  <c r="S12" i="89"/>
  <c r="S13" i="89"/>
  <c r="O16" i="89"/>
  <c r="L17" i="89"/>
  <c r="O20" i="89"/>
  <c r="L21" i="89"/>
  <c r="K24" i="89"/>
  <c r="O24" i="89"/>
  <c r="L25" i="89"/>
  <c r="L26" i="89"/>
  <c r="L27" i="89"/>
  <c r="L28" i="89"/>
  <c r="O29" i="89"/>
  <c r="L18" i="89"/>
  <c r="L22" i="89"/>
  <c r="S4" i="89"/>
  <c r="S6" i="89"/>
  <c r="S7" i="89"/>
  <c r="P4" i="89"/>
  <c r="T4" i="89"/>
  <c r="P5" i="89"/>
  <c r="T5" i="89"/>
  <c r="P6" i="89"/>
  <c r="T6" i="89"/>
  <c r="P7" i="89"/>
  <c r="T7" i="89"/>
  <c r="P8" i="89"/>
  <c r="T8" i="89"/>
  <c r="P9" i="89"/>
  <c r="T9" i="89"/>
  <c r="P10" i="89"/>
  <c r="T10" i="89"/>
  <c r="P11" i="89"/>
  <c r="T11" i="89"/>
  <c r="P12" i="89"/>
  <c r="P13" i="89"/>
  <c r="O15" i="89"/>
  <c r="L16" i="89"/>
  <c r="O19" i="89"/>
  <c r="L20" i="89"/>
  <c r="O23" i="89"/>
  <c r="L24" i="89"/>
  <c r="M25" i="89"/>
  <c r="I26" i="89"/>
  <c r="M26" i="89"/>
  <c r="I28" i="89"/>
  <c r="M28" i="89"/>
  <c r="L29" i="89"/>
  <c r="O30" i="89"/>
  <c r="U4" i="89"/>
  <c r="U12" i="89"/>
  <c r="U13" i="89"/>
  <c r="L15" i="89"/>
  <c r="O18" i="89"/>
  <c r="L19" i="89"/>
  <c r="I24" i="89"/>
  <c r="M24" i="89"/>
  <c r="J25" i="89"/>
  <c r="N25" i="89"/>
  <c r="J26" i="89"/>
  <c r="N26" i="89"/>
  <c r="J28" i="89"/>
  <c r="U10" i="88"/>
  <c r="L30" i="88"/>
  <c r="O26" i="88"/>
  <c r="U6" i="88"/>
  <c r="T12" i="88"/>
  <c r="U5" i="88"/>
  <c r="U7" i="88"/>
  <c r="U9" i="88"/>
  <c r="U11" i="88"/>
  <c r="T13" i="88"/>
  <c r="O17" i="88"/>
  <c r="O25" i="88"/>
  <c r="O21" i="88"/>
  <c r="O28" i="88"/>
  <c r="S6" i="88"/>
  <c r="S7" i="88"/>
  <c r="S9" i="88"/>
  <c r="S10" i="88"/>
  <c r="S11" i="88"/>
  <c r="S12" i="88"/>
  <c r="S13" i="88"/>
  <c r="O16" i="88"/>
  <c r="L17" i="88"/>
  <c r="O20" i="88"/>
  <c r="L21" i="88"/>
  <c r="K24" i="88"/>
  <c r="O24" i="88"/>
  <c r="L25" i="88"/>
  <c r="L26" i="88"/>
  <c r="L27" i="88"/>
  <c r="L28" i="88"/>
  <c r="O29" i="88"/>
  <c r="S5" i="88"/>
  <c r="S8" i="88"/>
  <c r="P4" i="88"/>
  <c r="T4" i="88"/>
  <c r="P5" i="88"/>
  <c r="T5" i="88"/>
  <c r="P6" i="88"/>
  <c r="T6" i="88"/>
  <c r="P7" i="88"/>
  <c r="T7" i="88"/>
  <c r="P8" i="88"/>
  <c r="T8" i="88"/>
  <c r="P9" i="88"/>
  <c r="T9" i="88"/>
  <c r="P10" i="88"/>
  <c r="T10" i="88"/>
  <c r="P11" i="88"/>
  <c r="T11" i="88"/>
  <c r="P12" i="88"/>
  <c r="P13" i="88"/>
  <c r="O15" i="88"/>
  <c r="L16" i="88"/>
  <c r="O19" i="88"/>
  <c r="L20" i="88"/>
  <c r="O23" i="88"/>
  <c r="L24" i="88"/>
  <c r="M25" i="88"/>
  <c r="I26" i="88"/>
  <c r="M26" i="88"/>
  <c r="I28" i="88"/>
  <c r="M28" i="88"/>
  <c r="L29" i="88"/>
  <c r="O30" i="88"/>
  <c r="L18" i="88"/>
  <c r="L22" i="88"/>
  <c r="S4" i="88"/>
  <c r="U4" i="88"/>
  <c r="U12" i="88"/>
  <c r="U13" i="88"/>
  <c r="L15" i="88"/>
  <c r="O18" i="88"/>
  <c r="L19" i="88"/>
  <c r="I24" i="88"/>
  <c r="M24" i="88"/>
  <c r="J25" i="88"/>
  <c r="N25" i="88"/>
  <c r="J26" i="88"/>
  <c r="N26" i="88"/>
  <c r="J28" i="88"/>
  <c r="T13" i="85"/>
  <c r="S13" i="85"/>
  <c r="T12" i="85"/>
  <c r="S12" i="85"/>
  <c r="T11" i="85"/>
  <c r="S11" i="85"/>
  <c r="T10" i="85"/>
  <c r="S10" i="85"/>
  <c r="T9" i="85"/>
  <c r="S9" i="85"/>
  <c r="T8" i="85"/>
  <c r="S8" i="85"/>
  <c r="T7" i="85"/>
  <c r="S7" i="85"/>
  <c r="T6" i="85"/>
  <c r="S6" i="85"/>
  <c r="T5" i="85"/>
  <c r="S5" i="85"/>
  <c r="T4" i="85"/>
  <c r="S4" i="85"/>
  <c r="C42" i="85"/>
  <c r="M28" i="85" s="1"/>
  <c r="C37" i="85"/>
  <c r="M30" i="85"/>
  <c r="L30" i="85"/>
  <c r="J30" i="85"/>
  <c r="I30" i="85"/>
  <c r="H30" i="85"/>
  <c r="D30" i="85"/>
  <c r="C30" i="85"/>
  <c r="M29" i="85"/>
  <c r="L29" i="85"/>
  <c r="J29" i="85"/>
  <c r="I29" i="85"/>
  <c r="H29" i="85"/>
  <c r="D29" i="85"/>
  <c r="C29" i="85"/>
  <c r="N28" i="85"/>
  <c r="J28" i="85"/>
  <c r="D28" i="85"/>
  <c r="N27" i="85"/>
  <c r="M27" i="85"/>
  <c r="L27" i="85"/>
  <c r="J27" i="85"/>
  <c r="I27" i="85"/>
  <c r="H27" i="85"/>
  <c r="C27" i="85"/>
  <c r="N26" i="85"/>
  <c r="J26" i="85"/>
  <c r="C26" i="85"/>
  <c r="N25" i="85"/>
  <c r="J25" i="85"/>
  <c r="H25" i="85"/>
  <c r="M24" i="85"/>
  <c r="I24" i="85"/>
  <c r="M23" i="85"/>
  <c r="L23" i="85"/>
  <c r="J23" i="85"/>
  <c r="I23" i="85"/>
  <c r="H23" i="85"/>
  <c r="M22" i="85"/>
  <c r="L22" i="85"/>
  <c r="J22" i="85"/>
  <c r="I22" i="85"/>
  <c r="H22" i="85"/>
  <c r="N21" i="85"/>
  <c r="M21" i="85"/>
  <c r="L21" i="85"/>
  <c r="J21" i="85"/>
  <c r="I21" i="85"/>
  <c r="H21" i="85"/>
  <c r="M20" i="85"/>
  <c r="L20" i="85"/>
  <c r="J20" i="85"/>
  <c r="I20" i="85"/>
  <c r="H20" i="85"/>
  <c r="M19" i="85"/>
  <c r="L19" i="85"/>
  <c r="J19" i="85"/>
  <c r="I19" i="85"/>
  <c r="H19" i="85"/>
  <c r="M18" i="85"/>
  <c r="L18" i="85"/>
  <c r="J18" i="85"/>
  <c r="I18" i="85"/>
  <c r="H18" i="85"/>
  <c r="N17" i="85"/>
  <c r="M17" i="85"/>
  <c r="L17" i="85"/>
  <c r="J17" i="85"/>
  <c r="I17" i="85"/>
  <c r="H17" i="85"/>
  <c r="M16" i="85"/>
  <c r="L16" i="85"/>
  <c r="J16" i="85"/>
  <c r="I16" i="85"/>
  <c r="H16" i="85"/>
  <c r="M15" i="85"/>
  <c r="L15" i="85"/>
  <c r="J15" i="85"/>
  <c r="I15" i="85"/>
  <c r="H15" i="85"/>
  <c r="O13" i="85"/>
  <c r="Q13" i="85" s="1"/>
  <c r="N13" i="85"/>
  <c r="R13" i="85" s="1"/>
  <c r="K13" i="85"/>
  <c r="N12" i="85"/>
  <c r="O12" i="85" s="1"/>
  <c r="K12" i="85"/>
  <c r="O11" i="85"/>
  <c r="Q11" i="85" s="1"/>
  <c r="N11" i="85"/>
  <c r="R11" i="85" s="1"/>
  <c r="K11" i="85"/>
  <c r="N10" i="85"/>
  <c r="O10" i="85" s="1"/>
  <c r="K10" i="85"/>
  <c r="O9" i="85"/>
  <c r="Q9" i="85" s="1"/>
  <c r="N9" i="85"/>
  <c r="R9" i="85" s="1"/>
  <c r="K9" i="85"/>
  <c r="N8" i="85"/>
  <c r="O8" i="85" s="1"/>
  <c r="K8" i="85"/>
  <c r="O7" i="85"/>
  <c r="Q7" i="85" s="1"/>
  <c r="N7" i="85"/>
  <c r="R7" i="85" s="1"/>
  <c r="K7" i="85"/>
  <c r="N6" i="85"/>
  <c r="O6" i="85" s="1"/>
  <c r="K6" i="85"/>
  <c r="O5" i="85"/>
  <c r="Q5" i="85" s="1"/>
  <c r="N5" i="85"/>
  <c r="R5" i="85" s="1"/>
  <c r="K5" i="85"/>
  <c r="K30" i="85" s="1"/>
  <c r="N4" i="85"/>
  <c r="N22" i="85" s="1"/>
  <c r="K4" i="85"/>
  <c r="K23" i="85" s="1"/>
  <c r="Q12" i="89" l="1"/>
  <c r="R12" i="89"/>
  <c r="Q10" i="89"/>
  <c r="R10" i="89"/>
  <c r="Q8" i="89"/>
  <c r="R8" i="89"/>
  <c r="Q6" i="89"/>
  <c r="R6" i="89"/>
  <c r="Q4" i="89"/>
  <c r="R4" i="89"/>
  <c r="Q11" i="89"/>
  <c r="R11" i="89"/>
  <c r="Q9" i="89"/>
  <c r="R9" i="89"/>
  <c r="Q7" i="89"/>
  <c r="R7" i="89"/>
  <c r="Q5" i="89"/>
  <c r="R5" i="89"/>
  <c r="Q13" i="89"/>
  <c r="R13" i="89"/>
  <c r="Q11" i="88"/>
  <c r="R11" i="88"/>
  <c r="Q9" i="88"/>
  <c r="R9" i="88"/>
  <c r="Q7" i="88"/>
  <c r="R7" i="88"/>
  <c r="Q5" i="88"/>
  <c r="R5" i="88"/>
  <c r="Q13" i="88"/>
  <c r="R13" i="88"/>
  <c r="Q12" i="88"/>
  <c r="R12" i="88"/>
  <c r="Q10" i="88"/>
  <c r="R10" i="88"/>
  <c r="Q8" i="88"/>
  <c r="R8" i="88"/>
  <c r="Q6" i="88"/>
  <c r="R6" i="88"/>
  <c r="Q4" i="88"/>
  <c r="R4" i="88"/>
  <c r="P6" i="85"/>
  <c r="Q6" i="85"/>
  <c r="P8" i="85"/>
  <c r="Q8" i="85"/>
  <c r="P10" i="85"/>
  <c r="Q10" i="85"/>
  <c r="P12" i="85"/>
  <c r="Q12" i="85"/>
  <c r="K18" i="85"/>
  <c r="R4" i="85"/>
  <c r="P5" i="85"/>
  <c r="R8" i="85"/>
  <c r="P9" i="85"/>
  <c r="R10" i="85"/>
  <c r="P11" i="85"/>
  <c r="R12" i="85"/>
  <c r="P13" i="85"/>
  <c r="N16" i="85"/>
  <c r="K17" i="85"/>
  <c r="N20" i="85"/>
  <c r="K21" i="85"/>
  <c r="J24" i="85"/>
  <c r="N24" i="85"/>
  <c r="K25" i="85"/>
  <c r="K26" i="85"/>
  <c r="K27" i="85"/>
  <c r="K28" i="85"/>
  <c r="N29" i="85"/>
  <c r="K22" i="85"/>
  <c r="R6" i="85"/>
  <c r="P7" i="85"/>
  <c r="O4" i="85"/>
  <c r="N15" i="85"/>
  <c r="K16" i="85"/>
  <c r="N19" i="85"/>
  <c r="K20" i="85"/>
  <c r="N23" i="85"/>
  <c r="K24" i="85"/>
  <c r="L25" i="85"/>
  <c r="H26" i="85"/>
  <c r="L26" i="85"/>
  <c r="H28" i="85"/>
  <c r="L28" i="85"/>
  <c r="K29" i="85"/>
  <c r="N30" i="85"/>
  <c r="K15" i="85"/>
  <c r="N18" i="85"/>
  <c r="K19" i="85"/>
  <c r="H24" i="85"/>
  <c r="L24" i="85"/>
  <c r="I25" i="85"/>
  <c r="M25" i="85"/>
  <c r="I26" i="85"/>
  <c r="M26" i="85"/>
  <c r="I28" i="85"/>
  <c r="P4" i="85" l="1"/>
  <c r="Q4" i="85"/>
  <c r="N13" i="81"/>
  <c r="N12" i="81"/>
  <c r="N30" i="81" s="1"/>
  <c r="N11" i="81"/>
  <c r="N10" i="81"/>
  <c r="N9" i="81"/>
  <c r="N8" i="81"/>
  <c r="O8" i="81" s="1"/>
  <c r="P8" i="81" s="1"/>
  <c r="N7" i="81"/>
  <c r="R7" i="81" s="1"/>
  <c r="N6" i="81"/>
  <c r="N5" i="81"/>
  <c r="N4" i="81"/>
  <c r="N29" i="81" s="1"/>
  <c r="R11" i="81"/>
  <c r="R13" i="81"/>
  <c r="L28" i="80"/>
  <c r="H28" i="80"/>
  <c r="M30" i="81"/>
  <c r="L30" i="81"/>
  <c r="J30" i="81"/>
  <c r="I30" i="81"/>
  <c r="H30" i="81"/>
  <c r="M29" i="81"/>
  <c r="L29" i="81"/>
  <c r="J29" i="81"/>
  <c r="I29" i="81"/>
  <c r="H29" i="81"/>
  <c r="C42" i="81"/>
  <c r="L28" i="81" s="1"/>
  <c r="C37" i="81"/>
  <c r="D30" i="81"/>
  <c r="C30" i="81"/>
  <c r="D29" i="81"/>
  <c r="C29" i="81"/>
  <c r="D28" i="81"/>
  <c r="M27" i="81"/>
  <c r="L27" i="81"/>
  <c r="J27" i="81"/>
  <c r="I27" i="81"/>
  <c r="H27" i="81"/>
  <c r="C27" i="81"/>
  <c r="I26" i="81"/>
  <c r="C26" i="81"/>
  <c r="L25" i="81"/>
  <c r="H25" i="81"/>
  <c r="M24" i="81"/>
  <c r="H24" i="81"/>
  <c r="M23" i="81"/>
  <c r="L23" i="81"/>
  <c r="J23" i="81"/>
  <c r="I23" i="81"/>
  <c r="H23" i="81"/>
  <c r="M22" i="81"/>
  <c r="L22" i="81"/>
  <c r="J22" i="81"/>
  <c r="I22" i="81"/>
  <c r="H22" i="81"/>
  <c r="M21" i="81"/>
  <c r="L21" i="81"/>
  <c r="J21" i="81"/>
  <c r="I21" i="81"/>
  <c r="H21" i="81"/>
  <c r="M20" i="81"/>
  <c r="L20" i="81"/>
  <c r="J20" i="81"/>
  <c r="I20" i="81"/>
  <c r="H20" i="81"/>
  <c r="M19" i="81"/>
  <c r="L19" i="81"/>
  <c r="J19" i="81"/>
  <c r="I19" i="81"/>
  <c r="H19" i="81"/>
  <c r="M18" i="81"/>
  <c r="L18" i="81"/>
  <c r="J18" i="81"/>
  <c r="I18" i="81"/>
  <c r="H18" i="81"/>
  <c r="M17" i="81"/>
  <c r="L17" i="81"/>
  <c r="J17" i="81"/>
  <c r="I17" i="81"/>
  <c r="H17" i="81"/>
  <c r="M16" i="81"/>
  <c r="L16" i="81"/>
  <c r="J16" i="81"/>
  <c r="I16" i="81"/>
  <c r="H16" i="81"/>
  <c r="M15" i="81"/>
  <c r="L15" i="81"/>
  <c r="J15" i="81"/>
  <c r="I15" i="81"/>
  <c r="H15" i="81"/>
  <c r="K13" i="81"/>
  <c r="O12" i="81"/>
  <c r="P12" i="81" s="1"/>
  <c r="K12" i="81"/>
  <c r="K11" i="81"/>
  <c r="R10" i="81"/>
  <c r="K10" i="81"/>
  <c r="O9" i="81"/>
  <c r="P9" i="81" s="1"/>
  <c r="K9" i="81"/>
  <c r="K8" i="81"/>
  <c r="K29" i="81" s="1"/>
  <c r="O7" i="81"/>
  <c r="P7" i="81" s="1"/>
  <c r="K7" i="81"/>
  <c r="R6" i="81"/>
  <c r="K6" i="81"/>
  <c r="K5" i="81"/>
  <c r="K30" i="81" s="1"/>
  <c r="O4" i="81"/>
  <c r="P4" i="81" s="1"/>
  <c r="K4" i="81"/>
  <c r="C42" i="80"/>
  <c r="C37" i="80"/>
  <c r="D30" i="80"/>
  <c r="M30" i="80" s="1"/>
  <c r="C30" i="80"/>
  <c r="D29" i="80"/>
  <c r="L29" i="80" s="1"/>
  <c r="C29" i="80"/>
  <c r="D28" i="80"/>
  <c r="M27" i="80"/>
  <c r="L27" i="80"/>
  <c r="J27" i="80"/>
  <c r="I27" i="80"/>
  <c r="H27" i="80"/>
  <c r="C27" i="80"/>
  <c r="M26" i="80"/>
  <c r="L26" i="80"/>
  <c r="J26" i="80"/>
  <c r="I26" i="80"/>
  <c r="H26" i="80"/>
  <c r="C26" i="80"/>
  <c r="M25" i="80"/>
  <c r="L25" i="80"/>
  <c r="J25" i="80"/>
  <c r="I25" i="80"/>
  <c r="H25" i="80"/>
  <c r="M24" i="80"/>
  <c r="L24" i="80"/>
  <c r="J24" i="80"/>
  <c r="I24" i="80"/>
  <c r="H24" i="80"/>
  <c r="M23" i="80"/>
  <c r="L23" i="80"/>
  <c r="J23" i="80"/>
  <c r="I23" i="80"/>
  <c r="H23" i="80"/>
  <c r="M22" i="80"/>
  <c r="L22" i="80"/>
  <c r="J22" i="80"/>
  <c r="I22" i="80"/>
  <c r="H22" i="80"/>
  <c r="M21" i="80"/>
  <c r="L21" i="80"/>
  <c r="J21" i="80"/>
  <c r="I21" i="80"/>
  <c r="H21" i="80"/>
  <c r="M20" i="80"/>
  <c r="L20" i="80"/>
  <c r="J20" i="80"/>
  <c r="I20" i="80"/>
  <c r="H20" i="80"/>
  <c r="M19" i="80"/>
  <c r="L19" i="80"/>
  <c r="J19" i="80"/>
  <c r="I19" i="80"/>
  <c r="H19" i="80"/>
  <c r="M18" i="80"/>
  <c r="L18" i="80"/>
  <c r="J18" i="80"/>
  <c r="I18" i="80"/>
  <c r="H18" i="80"/>
  <c r="M17" i="80"/>
  <c r="L17" i="80"/>
  <c r="J17" i="80"/>
  <c r="I17" i="80"/>
  <c r="H17" i="80"/>
  <c r="M16" i="80"/>
  <c r="L16" i="80"/>
  <c r="J16" i="80"/>
  <c r="I16" i="80"/>
  <c r="H16" i="80"/>
  <c r="M15" i="80"/>
  <c r="L15" i="80"/>
  <c r="J15" i="80"/>
  <c r="I15" i="80"/>
  <c r="H15" i="80"/>
  <c r="O13" i="80"/>
  <c r="P13" i="80" s="1"/>
  <c r="N13" i="80"/>
  <c r="R13" i="80" s="1"/>
  <c r="K13" i="80"/>
  <c r="N12" i="80"/>
  <c r="R12" i="80" s="1"/>
  <c r="K12" i="80"/>
  <c r="N11" i="80"/>
  <c r="R11" i="80" s="1"/>
  <c r="K11" i="80"/>
  <c r="O10" i="80"/>
  <c r="P10" i="80" s="1"/>
  <c r="N10" i="80"/>
  <c r="R10" i="80" s="1"/>
  <c r="K10" i="80"/>
  <c r="O9" i="80"/>
  <c r="P9" i="80" s="1"/>
  <c r="N9" i="80"/>
  <c r="R9" i="80" s="1"/>
  <c r="K9" i="80"/>
  <c r="N8" i="80"/>
  <c r="R8" i="80" s="1"/>
  <c r="K8" i="80"/>
  <c r="N7" i="80"/>
  <c r="R7" i="80" s="1"/>
  <c r="K7" i="80"/>
  <c r="O6" i="80"/>
  <c r="P6" i="80" s="1"/>
  <c r="N6" i="80"/>
  <c r="R6" i="80" s="1"/>
  <c r="K6" i="80"/>
  <c r="O5" i="80"/>
  <c r="P5" i="80" s="1"/>
  <c r="N5" i="80"/>
  <c r="R5" i="80" s="1"/>
  <c r="K5" i="80"/>
  <c r="N4" i="80"/>
  <c r="N29" i="80" s="1"/>
  <c r="K4" i="80"/>
  <c r="C30" i="79"/>
  <c r="C29" i="79"/>
  <c r="D28" i="79"/>
  <c r="C27" i="79"/>
  <c r="C26" i="79"/>
  <c r="C42" i="79"/>
  <c r="C37" i="79"/>
  <c r="M22" i="79"/>
  <c r="L22" i="79"/>
  <c r="J22" i="79"/>
  <c r="I22" i="79"/>
  <c r="H22" i="79"/>
  <c r="M21" i="79"/>
  <c r="L21" i="79"/>
  <c r="J21" i="79"/>
  <c r="I21" i="79"/>
  <c r="H21" i="79"/>
  <c r="M20" i="79"/>
  <c r="L20" i="79"/>
  <c r="J20" i="79"/>
  <c r="I20" i="79"/>
  <c r="H20" i="79"/>
  <c r="M19" i="79"/>
  <c r="L19" i="79"/>
  <c r="J19" i="79"/>
  <c r="I19" i="79"/>
  <c r="H19" i="79"/>
  <c r="M18" i="79"/>
  <c r="L18" i="79"/>
  <c r="J18" i="79"/>
  <c r="I18" i="79"/>
  <c r="H18" i="79"/>
  <c r="M17" i="79"/>
  <c r="L17" i="79"/>
  <c r="J17" i="79"/>
  <c r="I17" i="79"/>
  <c r="H17" i="79"/>
  <c r="M16" i="79"/>
  <c r="L16" i="79"/>
  <c r="J16" i="79"/>
  <c r="I16" i="79"/>
  <c r="H16" i="79"/>
  <c r="M15" i="79"/>
  <c r="L15" i="79"/>
  <c r="J15" i="79"/>
  <c r="I15" i="79"/>
  <c r="H15" i="79"/>
  <c r="N13" i="79"/>
  <c r="R13" i="79" s="1"/>
  <c r="K13" i="79"/>
  <c r="N12" i="79"/>
  <c r="R12" i="79" s="1"/>
  <c r="K12" i="79"/>
  <c r="N11" i="79"/>
  <c r="R11" i="79" s="1"/>
  <c r="K11" i="79"/>
  <c r="N10" i="79"/>
  <c r="R10" i="79" s="1"/>
  <c r="K10" i="79"/>
  <c r="N9" i="79"/>
  <c r="R9" i="79" s="1"/>
  <c r="K9" i="79"/>
  <c r="N8" i="79"/>
  <c r="R8" i="79" s="1"/>
  <c r="K8" i="79"/>
  <c r="N7" i="79"/>
  <c r="O7" i="79" s="1"/>
  <c r="K7" i="79"/>
  <c r="N6" i="79"/>
  <c r="R6" i="79" s="1"/>
  <c r="K6" i="79"/>
  <c r="N5" i="79"/>
  <c r="R5" i="79" s="1"/>
  <c r="K5" i="79"/>
  <c r="N4" i="79"/>
  <c r="K4" i="79"/>
  <c r="K21" i="79" s="1"/>
  <c r="O10" i="81" l="1"/>
  <c r="P10" i="81" s="1"/>
  <c r="R12" i="81"/>
  <c r="L24" i="81"/>
  <c r="J25" i="81"/>
  <c r="H26" i="81"/>
  <c r="M26" i="81"/>
  <c r="I28" i="81"/>
  <c r="M28" i="81"/>
  <c r="N28" i="81"/>
  <c r="N22" i="79"/>
  <c r="O4" i="80"/>
  <c r="P4" i="80" s="1"/>
  <c r="O12" i="80"/>
  <c r="P12" i="80" s="1"/>
  <c r="O6" i="81"/>
  <c r="P6" i="81" s="1"/>
  <c r="R8" i="81"/>
  <c r="O11" i="81"/>
  <c r="P11" i="81" s="1"/>
  <c r="I24" i="81"/>
  <c r="M25" i="81"/>
  <c r="J26" i="81"/>
  <c r="K28" i="81"/>
  <c r="I28" i="80"/>
  <c r="M28" i="80"/>
  <c r="J28" i="81"/>
  <c r="O8" i="80"/>
  <c r="P8" i="80" s="1"/>
  <c r="K30" i="80"/>
  <c r="O7" i="80"/>
  <c r="P7" i="80" s="1"/>
  <c r="O11" i="80"/>
  <c r="P11" i="80" s="1"/>
  <c r="O5" i="81"/>
  <c r="P5" i="81" s="1"/>
  <c r="O13" i="81"/>
  <c r="P13" i="81" s="1"/>
  <c r="J24" i="81"/>
  <c r="I25" i="81"/>
  <c r="L26" i="81"/>
  <c r="H28" i="81"/>
  <c r="J28" i="80"/>
  <c r="R5" i="81"/>
  <c r="R9" i="81"/>
  <c r="Q5" i="81"/>
  <c r="Q6" i="81"/>
  <c r="Q7" i="81"/>
  <c r="Q8" i="81"/>
  <c r="Q9" i="81"/>
  <c r="Q10" i="81"/>
  <c r="Q11" i="81"/>
  <c r="Q12" i="81"/>
  <c r="Q13" i="81"/>
  <c r="N15" i="81"/>
  <c r="K16" i="81"/>
  <c r="N17" i="81"/>
  <c r="K18" i="81"/>
  <c r="N19" i="81"/>
  <c r="K20" i="81"/>
  <c r="N21" i="81"/>
  <c r="K22" i="81"/>
  <c r="N23" i="81"/>
  <c r="K24" i="81"/>
  <c r="N25" i="81"/>
  <c r="N26" i="81"/>
  <c r="N27" i="81"/>
  <c r="Q4" i="81"/>
  <c r="R4" i="81"/>
  <c r="K15" i="81"/>
  <c r="N16" i="81"/>
  <c r="K17" i="81"/>
  <c r="N18" i="81"/>
  <c r="K19" i="81"/>
  <c r="N20" i="81"/>
  <c r="K21" i="81"/>
  <c r="N22" i="81"/>
  <c r="K23" i="81"/>
  <c r="N24" i="81"/>
  <c r="K25" i="81"/>
  <c r="K26" i="81"/>
  <c r="K27" i="81"/>
  <c r="Q4" i="80"/>
  <c r="Q5" i="80"/>
  <c r="Q6" i="80"/>
  <c r="Q7" i="80"/>
  <c r="Q8" i="80"/>
  <c r="Q9" i="80"/>
  <c r="Q10" i="80"/>
  <c r="Q11" i="80"/>
  <c r="Q12" i="80"/>
  <c r="Q13" i="80"/>
  <c r="N15" i="80"/>
  <c r="K16" i="80"/>
  <c r="N17" i="80"/>
  <c r="K18" i="80"/>
  <c r="N19" i="80"/>
  <c r="K20" i="80"/>
  <c r="N21" i="80"/>
  <c r="K22" i="80"/>
  <c r="N23" i="80"/>
  <c r="K24" i="80"/>
  <c r="K28" i="80" s="1"/>
  <c r="N25" i="80"/>
  <c r="N26" i="80"/>
  <c r="N27" i="80"/>
  <c r="I29" i="80"/>
  <c r="K29" i="80"/>
  <c r="M29" i="80"/>
  <c r="H30" i="80"/>
  <c r="J30" i="80"/>
  <c r="L30" i="80"/>
  <c r="N30" i="80"/>
  <c r="R4" i="80"/>
  <c r="K15" i="80"/>
  <c r="N16" i="80"/>
  <c r="K17" i="80"/>
  <c r="N18" i="80"/>
  <c r="K19" i="80"/>
  <c r="N20" i="80"/>
  <c r="K21" i="80"/>
  <c r="N22" i="80"/>
  <c r="K23" i="80"/>
  <c r="N24" i="80"/>
  <c r="N28" i="80" s="1"/>
  <c r="K25" i="80"/>
  <c r="K26" i="80"/>
  <c r="K27" i="80"/>
  <c r="H29" i="80"/>
  <c r="J29" i="80"/>
  <c r="I30" i="80"/>
  <c r="P7" i="79"/>
  <c r="Q7" i="79"/>
  <c r="R4" i="79"/>
  <c r="R7" i="79"/>
  <c r="O4" i="79"/>
  <c r="O5" i="79"/>
  <c r="O6" i="79"/>
  <c r="O8" i="79"/>
  <c r="O9" i="79"/>
  <c r="O10" i="79"/>
  <c r="O11" i="79"/>
  <c r="O12" i="79"/>
  <c r="O13" i="79"/>
  <c r="N15" i="79"/>
  <c r="K16" i="79"/>
  <c r="N17" i="79"/>
  <c r="K18" i="79"/>
  <c r="N19" i="79"/>
  <c r="K20" i="79"/>
  <c r="N21" i="79"/>
  <c r="K22" i="79"/>
  <c r="K15" i="79"/>
  <c r="N16" i="79"/>
  <c r="K17" i="79"/>
  <c r="N18" i="79"/>
  <c r="K19" i="79"/>
  <c r="N20" i="79"/>
  <c r="P13" i="79" l="1"/>
  <c r="Q13" i="79"/>
  <c r="P11" i="79"/>
  <c r="Q11" i="79"/>
  <c r="P9" i="79"/>
  <c r="Q9" i="79"/>
  <c r="P6" i="79"/>
  <c r="Q6" i="79"/>
  <c r="Q4" i="79"/>
  <c r="P4" i="79"/>
  <c r="P12" i="79"/>
  <c r="Q12" i="79"/>
  <c r="P10" i="79"/>
  <c r="Q10" i="79"/>
  <c r="P8" i="79"/>
  <c r="Q8" i="79"/>
  <c r="Q5" i="79"/>
  <c r="P5" i="79"/>
</calcChain>
</file>

<file path=xl/comments1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comments2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comments3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comments4.xml><?xml version="1.0" encoding="utf-8"?>
<comments xmlns="http://schemas.openxmlformats.org/spreadsheetml/2006/main">
  <authors>
    <author>שי שקרוב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comments5.xml><?xml version="1.0" encoding="utf-8"?>
<comments xmlns="http://schemas.openxmlformats.org/spreadsheetml/2006/main">
  <authors>
    <author>שי שקרוב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comments6.xml><?xml version="1.0" encoding="utf-8"?>
<comments xmlns="http://schemas.openxmlformats.org/spreadsheetml/2006/main">
  <authors>
    <author>שי שקרוב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האחוז של הסטודנטים שקיבלו ציון הנמוך מהציון של כל סטודנט </t>
        </r>
      </text>
    </comment>
  </commentList>
</comments>
</file>

<file path=xl/sharedStrings.xml><?xml version="1.0" encoding="utf-8"?>
<sst xmlns="http://schemas.openxmlformats.org/spreadsheetml/2006/main" count="666" uniqueCount="103">
  <si>
    <t>חשבונאות</t>
  </si>
  <si>
    <t>שם הסטודנט</t>
  </si>
  <si>
    <t>דניאל</t>
  </si>
  <si>
    <t>טלי</t>
  </si>
  <si>
    <t>יעל</t>
  </si>
  <si>
    <t>מיכל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</si>
  <si>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</si>
  <si>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</si>
  <si>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</si>
  <si>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</si>
  <si>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</si>
  <si>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</si>
  <si>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</si>
  <si>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</si>
  <si>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</si>
  <si>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</si>
  <si>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</si>
  <si>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</si>
  <si>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</si>
  <si>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</si>
  <si>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</si>
  <si>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</si>
  <si>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</si>
  <si>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</si>
  <si>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</si>
  <si>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</si>
  <si>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</si>
  <si>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</si>
  <si>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</si>
  <si>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</si>
  <si>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</si>
  <si>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</si>
  <si>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</si>
  <si>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</si>
  <si>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</si>
  <si>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</si>
  <si>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</si>
  <si>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</si>
  <si>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</si>
  <si>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</si>
  <si>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</si>
  <si>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</si>
  <si>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</si>
  <si>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</si>
  <si>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</si>
  <si>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</si>
  <si>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</si>
  <si>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</si>
  <si>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</si>
  <si>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</si>
  <si>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</si>
  <si>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</si>
  <si>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עברו</t>
  </si>
  <si>
    <t>מצטיינים</t>
  </si>
  <si>
    <t>התמחות</t>
  </si>
  <si>
    <t>שיווק</t>
  </si>
  <si>
    <t>סטודנטים</t>
  </si>
  <si>
    <t>סטודנטיות</t>
  </si>
  <si>
    <t>סמלים</t>
  </si>
  <si>
    <t>לא נכשלו</t>
  </si>
  <si>
    <t>מתוכם:</t>
  </si>
  <si>
    <t>&gt;=84.50</t>
  </si>
  <si>
    <t>בממוצע:</t>
  </si>
  <si>
    <t>ממוצע של מקבלי ציון "עובר":</t>
  </si>
  <si>
    <t>אחוזון</t>
  </si>
  <si>
    <t>דירוג</t>
  </si>
  <si>
    <t>מס' אקראי</t>
  </si>
  <si>
    <t>עד (כולל)</t>
  </si>
  <si>
    <t>מ (כולל)</t>
  </si>
  <si>
    <t>עד (לא כולל)</t>
  </si>
  <si>
    <t>#</t>
  </si>
  <si>
    <t>המספר הסידורי של הסטודנט שיזכה במלגה:</t>
  </si>
  <si>
    <t>סך שעות</t>
  </si>
  <si>
    <t>שעה</t>
  </si>
  <si>
    <t>תאריך</t>
  </si>
  <si>
    <t>יום בשבוע</t>
  </si>
  <si>
    <t>מועד סיום עבודה</t>
  </si>
  <si>
    <t>מועד התחלת עבודה</t>
  </si>
  <si>
    <t>תאריך ושעה נוכחיים:</t>
  </si>
  <si>
    <t>תאריך נוכחי:</t>
  </si>
  <si>
    <t>בימים</t>
  </si>
  <si>
    <t>בחודשים</t>
  </si>
  <si>
    <t>בשנים</t>
  </si>
  <si>
    <t>סכום עסקה צמוד</t>
  </si>
  <si>
    <t>סכום עסקה לא צמוד</t>
  </si>
  <si>
    <t>התפרסם ב-</t>
  </si>
  <si>
    <t>לחודש</t>
  </si>
  <si>
    <t>מדד ביום העסקה (מדד בסיס)</t>
  </si>
  <si>
    <t>תאריך עסקה</t>
  </si>
  <si>
    <t>תאריך פרסום המדד</t>
  </si>
  <si>
    <t>שנת פרסום המדד</t>
  </si>
  <si>
    <t>חודש פרסום המדד</t>
  </si>
  <si>
    <t>מדד נוכחי בנקודות</t>
  </si>
  <si>
    <t>שנה</t>
  </si>
  <si>
    <t>חודש</t>
  </si>
  <si>
    <t>יום בחודש</t>
  </si>
  <si>
    <t>תאריך התשלום</t>
  </si>
  <si>
    <t>הזמן שחלף ממועד העסקה (2)</t>
  </si>
  <si>
    <t>הזמן שחלף ממועד העסקה (1)</t>
  </si>
  <si>
    <t>סכומים לתשלום</t>
  </si>
  <si>
    <t>נתוני העסקה המקורית</t>
  </si>
  <si>
    <t>נתוני התשלום</t>
  </si>
  <si>
    <t>יום פרסום המדד: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</si>
</sst>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₪&quot;\ #,##0;[Red]&quot;₪&quot;\ \-#,##0"/>
    <numFmt numFmtId="43" formatCode="_ * #,##0.00_ ;_ * \-#,##0.00_ ;_ * &quot;-&quot;??_ ;_ @_ "/>
    <numFmt numFmtId="164" formatCode="[$-1000000]00000000\-0"/>
    <numFmt numFmtId="165" formatCode="[&lt;=9999999][$-1000000]###\-####;[$-1000000]\(###\)\ ###\-####"/>
    <numFmt numFmtId="166" formatCode="[$-1000000]00000"/>
    <numFmt numFmtId="167" formatCode="0.0"/>
    <numFmt numFmtId="168" formatCode="0.00_ ;[Red]\-0.00\ "/>
    <numFmt numFmtId="169" formatCode="[$-1000000]h:mm;@"/>
    <numFmt numFmtId="170" formatCode="dddd"/>
    <numFmt numFmtId="171" formatCode="mm/yyyy"/>
  </numFmts>
  <fonts count="12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u val="double"/>
      <sz val="24"/>
      <color indexed="12"/>
      <name val="David"/>
      <family val="2"/>
      <charset val="177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b/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thin">
        <color rgb="FF0066FF"/>
      </bottom>
      <diagonal/>
    </border>
    <border>
      <left/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/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/>
      <diagonal/>
    </border>
    <border>
      <left style="thin">
        <color rgb="FF0066FF"/>
      </left>
      <right style="double">
        <color rgb="FF0066FF"/>
      </right>
      <top style="thin">
        <color rgb="FF0066FF"/>
      </top>
      <bottom/>
      <diagonal/>
    </border>
    <border>
      <left/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/>
      <diagonal/>
    </border>
    <border>
      <left/>
      <right/>
      <top style="double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2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4" xfId="0" applyNumberFormat="1" applyBorder="1"/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9" fontId="0" fillId="0" borderId="9" xfId="10" applyNumberFormat="1" applyFont="1" applyBorder="1"/>
    <xf numFmtId="9" fontId="0" fillId="0" borderId="2" xfId="10" applyNumberFormat="1" applyFont="1" applyBorder="1"/>
    <xf numFmtId="9" fontId="0" fillId="0" borderId="4" xfId="0" applyNumberForma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5" fillId="0" borderId="22" xfId="0" applyFont="1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2" fontId="1" fillId="0" borderId="0" xfId="0" applyNumberFormat="1" applyFont="1"/>
    <xf numFmtId="0" fontId="1" fillId="0" borderId="27" xfId="0" applyFont="1" applyBorder="1"/>
    <xf numFmtId="0" fontId="1" fillId="0" borderId="27" xfId="0" applyFont="1" applyBorder="1" applyAlignment="1">
      <alignment horizontal="left"/>
    </xf>
    <xf numFmtId="4" fontId="0" fillId="0" borderId="27" xfId="0" applyNumberFormat="1" applyBorder="1"/>
    <xf numFmtId="4" fontId="0" fillId="0" borderId="28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1" fillId="0" borderId="3" xfId="0" applyNumberFormat="1" applyFont="1" applyBorder="1" applyAlignment="1"/>
    <xf numFmtId="0" fontId="1" fillId="0" borderId="0" xfId="14"/>
    <xf numFmtId="0" fontId="1" fillId="0" borderId="2" xfId="14" applyBorder="1"/>
    <xf numFmtId="0" fontId="1" fillId="0" borderId="4" xfId="14" applyBorder="1"/>
    <xf numFmtId="0" fontId="1" fillId="0" borderId="6" xfId="14" applyBorder="1"/>
    <xf numFmtId="0" fontId="1" fillId="0" borderId="25" xfId="14" applyBorder="1"/>
    <xf numFmtId="0" fontId="1" fillId="0" borderId="24" xfId="14" applyBorder="1"/>
    <xf numFmtId="0" fontId="1" fillId="0" borderId="23" xfId="14" applyBorder="1"/>
    <xf numFmtId="0" fontId="5" fillId="0" borderId="29" xfId="14" applyFont="1" applyBorder="1" applyAlignment="1">
      <alignment vertical="top" wrapText="1"/>
    </xf>
    <xf numFmtId="0" fontId="5" fillId="0" borderId="12" xfId="14" applyFont="1" applyBorder="1" applyAlignment="1">
      <alignment vertical="top" wrapText="1"/>
    </xf>
    <xf numFmtId="9" fontId="0" fillId="0" borderId="6" xfId="10" applyFont="1" applyBorder="1"/>
    <xf numFmtId="9" fontId="1" fillId="0" borderId="2" xfId="10" applyBorder="1"/>
    <xf numFmtId="9" fontId="1" fillId="0" borderId="4" xfId="10" applyBorder="1"/>
    <xf numFmtId="1" fontId="1" fillId="0" borderId="0" xfId="14" applyNumberFormat="1"/>
    <xf numFmtId="0" fontId="10" fillId="0" borderId="0" xfId="14" applyFont="1"/>
    <xf numFmtId="0" fontId="0" fillId="0" borderId="30" xfId="0" applyBorder="1"/>
    <xf numFmtId="0" fontId="0" fillId="0" borderId="15" xfId="0" applyBorder="1"/>
    <xf numFmtId="0" fontId="1" fillId="0" borderId="15" xfId="0" applyFont="1" applyBorder="1"/>
    <xf numFmtId="0" fontId="0" fillId="0" borderId="31" xfId="0" applyBorder="1"/>
    <xf numFmtId="0" fontId="1" fillId="0" borderId="31" xfId="0" applyFont="1" applyBorder="1"/>
    <xf numFmtId="0" fontId="0" fillId="0" borderId="16" xfId="0" applyBorder="1"/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 vertical="center" textRotation="255" wrapText="1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10" xfId="0" applyFont="1" applyFill="1" applyBorder="1" applyAlignment="1">
      <alignment horizontal="center" vertical="center" textRotation="255" wrapText="1"/>
    </xf>
    <xf numFmtId="0" fontId="7" fillId="3" borderId="26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>
      <alignment horizontal="center" vertical="center" textRotation="255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0" fontId="0" fillId="0" borderId="36" xfId="0" applyNumberFormat="1" applyBorder="1"/>
    <xf numFmtId="169" fontId="0" fillId="0" borderId="36" xfId="0" applyNumberFormat="1" applyBorder="1"/>
    <xf numFmtId="14" fontId="0" fillId="0" borderId="36" xfId="0" applyNumberFormat="1" applyBorder="1"/>
    <xf numFmtId="0" fontId="0" fillId="0" borderId="36" xfId="0" applyBorder="1"/>
    <xf numFmtId="0" fontId="5" fillId="0" borderId="0" xfId="0" applyFont="1"/>
    <xf numFmtId="169" fontId="5" fillId="4" borderId="36" xfId="0" applyNumberFormat="1" applyFont="1" applyFill="1" applyBorder="1"/>
    <xf numFmtId="14" fontId="5" fillId="4" borderId="36" xfId="0" applyNumberFormat="1" applyFont="1" applyFill="1" applyBorder="1"/>
    <xf numFmtId="0" fontId="5" fillId="4" borderId="36" xfId="0" applyFont="1" applyFill="1" applyBorder="1"/>
    <xf numFmtId="168" fontId="5" fillId="4" borderId="36" xfId="0" applyNumberFormat="1" applyFont="1" applyFill="1" applyBorder="1"/>
    <xf numFmtId="0" fontId="5" fillId="4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8" fontId="0" fillId="0" borderId="36" xfId="0" applyNumberFormat="1" applyBorder="1"/>
    <xf numFmtId="22" fontId="0" fillId="0" borderId="0" xfId="0" applyNumberFormat="1" applyAlignment="1">
      <alignment horizontal="center"/>
    </xf>
    <xf numFmtId="170" fontId="0" fillId="0" borderId="36" xfId="0" applyNumberFormat="1" applyBorder="1"/>
    <xf numFmtId="6" fontId="0" fillId="0" borderId="0" xfId="0" applyNumberFormat="1"/>
    <xf numFmtId="4" fontId="0" fillId="0" borderId="0" xfId="0" applyNumberFormat="1"/>
    <xf numFmtId="1" fontId="0" fillId="4" borderId="0" xfId="0" applyNumberFormat="1" applyFill="1"/>
    <xf numFmtId="2" fontId="0" fillId="4" borderId="0" xfId="0" applyNumberFormat="1" applyFill="1"/>
    <xf numFmtId="0" fontId="0" fillId="5" borderId="0" xfId="0" applyFill="1"/>
    <xf numFmtId="6" fontId="0" fillId="4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4" fontId="0" fillId="5" borderId="0" xfId="0" applyNumberFormat="1" applyFill="1"/>
    <xf numFmtId="14" fontId="0" fillId="4" borderId="0" xfId="0" applyNumberFormat="1" applyFill="1"/>
    <xf numFmtId="0" fontId="0" fillId="4" borderId="0" xfId="0" applyFill="1"/>
    <xf numFmtId="0" fontId="0" fillId="4" borderId="0" xfId="0" applyNumberFormat="1" applyFill="1"/>
    <xf numFmtId="4" fontId="0" fillId="4" borderId="0" xfId="0" applyNumberFormat="1" applyFill="1"/>
    <xf numFmtId="0" fontId="5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1" fillId="0" borderId="0" xfId="0" applyFont="1"/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6" fontId="11" fillId="4" borderId="0" xfId="0" applyNumberFormat="1" applyFont="1" applyFill="1" applyAlignment="1">
      <alignment horizontal="center"/>
    </xf>
    <xf numFmtId="0" fontId="1" fillId="0" borderId="0" xfId="0" applyFont="1" applyAlignment="1"/>
    <xf numFmtId="17" fontId="0" fillId="5" borderId="0" xfId="0" applyNumberFormat="1" applyFill="1"/>
    <xf numFmtId="171" fontId="0" fillId="4" borderId="0" xfId="0" applyNumberFormat="1" applyFill="1"/>
  </cellXfs>
  <cellStyles count="15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4"/>
    <cellStyle name="Percent" xfId="10" builtinId="5"/>
    <cellStyle name="RF (2)" xfId="11"/>
    <cellStyle name="sh_FCG320B" xfId="12"/>
    <cellStyle name="Spelling 1033,0" xfId="13"/>
  </cellStyles>
  <dxfs count="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rightToLeft="1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0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ht="13.5" thickBot="1"/>
    <row r="3" spans="1:20" s="4" customFormat="1" ht="27" thickTop="1" thickBot="1">
      <c r="A3" s="86" t="s">
        <v>46</v>
      </c>
      <c r="B3" s="27" t="s">
        <v>41</v>
      </c>
      <c r="C3" s="26" t="s">
        <v>1</v>
      </c>
      <c r="D3" s="26" t="s">
        <v>8</v>
      </c>
      <c r="E3" s="26" t="s">
        <v>51</v>
      </c>
      <c r="F3" s="26" t="s">
        <v>50</v>
      </c>
      <c r="G3" s="26" t="s">
        <v>54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39</v>
      </c>
      <c r="Q3" s="39" t="s">
        <v>40</v>
      </c>
      <c r="R3" s="61" t="s">
        <v>59</v>
      </c>
      <c r="S3" s="61" t="s">
        <v>65</v>
      </c>
      <c r="T3" s="60" t="s">
        <v>64</v>
      </c>
    </row>
    <row r="4" spans="1:20">
      <c r="A4" s="87"/>
      <c r="B4" s="28">
        <v>123456789</v>
      </c>
      <c r="C4" s="8" t="s">
        <v>2</v>
      </c>
      <c r="D4" s="8" t="s">
        <v>17</v>
      </c>
      <c r="E4" s="9">
        <v>9877665</v>
      </c>
      <c r="F4" s="12">
        <v>123</v>
      </c>
      <c r="G4" s="36" t="s">
        <v>55</v>
      </c>
      <c r="H4" s="8">
        <v>89</v>
      </c>
      <c r="I4" s="8">
        <v>86</v>
      </c>
      <c r="J4" s="8">
        <v>99</v>
      </c>
      <c r="K4" s="15">
        <f>AVERAGE(H4:J4)</f>
        <v>91.333333333333329</v>
      </c>
      <c r="L4" s="8">
        <v>99</v>
      </c>
      <c r="M4" s="8">
        <v>80</v>
      </c>
      <c r="N4" s="18">
        <f>H4*$C$32+I4*$C$33+J4*$C$34+L4*$C$35+M4*$C$36</f>
        <v>89.1</v>
      </c>
      <c r="O4" s="8" t="str">
        <f>IF(N4&lt;$C$41,$B$40,IF(N4&lt;$C$42,$B$41,$B$42))</f>
        <v>מצטיין</v>
      </c>
      <c r="P4" s="8" t="str">
        <f>IF(AND(D4=$C$46,O4=$B$42),"מלגה","")</f>
        <v/>
      </c>
      <c r="Q4" s="40" t="str">
        <f>IF(OR(D4=$C$46,O4=$B$42),"מלגה","")</f>
        <v>מלגה</v>
      </c>
      <c r="R4" s="59" t="str">
        <f>IF(NOT(N4&lt;$C$41),"מלגה","")</f>
        <v>מלגה</v>
      </c>
      <c r="S4" s="59"/>
      <c r="T4" s="56"/>
    </row>
    <row r="5" spans="1:20">
      <c r="A5" s="87"/>
      <c r="B5" s="29">
        <v>193878400</v>
      </c>
      <c r="C5" s="5" t="s">
        <v>3</v>
      </c>
      <c r="D5" s="5" t="s">
        <v>18</v>
      </c>
      <c r="E5" s="10">
        <v>9876544</v>
      </c>
      <c r="F5" s="13">
        <v>70000</v>
      </c>
      <c r="G5" s="37" t="s">
        <v>55</v>
      </c>
      <c r="H5" s="5">
        <v>81</v>
      </c>
      <c r="I5" s="5">
        <v>80</v>
      </c>
      <c r="J5" s="5">
        <v>82</v>
      </c>
      <c r="K5" s="16">
        <f t="shared" ref="K5:K13" si="0">AVERAGE(H5:J5)</f>
        <v>81</v>
      </c>
      <c r="L5" s="5">
        <v>81</v>
      </c>
      <c r="M5" s="5">
        <v>81</v>
      </c>
      <c r="N5" s="19">
        <f t="shared" ref="N5:N13" si="1">H5*$C$32+I5*$C$33+J5*$C$34+L5*$C$35+M5*$C$36</f>
        <v>81</v>
      </c>
      <c r="O5" s="5" t="str">
        <f t="shared" ref="O5:O13" si="2">IF(N5&lt;$C$41,$B$40,IF(N5&lt;$C$42,$B$41,$B$42))</f>
        <v>עובר</v>
      </c>
      <c r="P5" s="5" t="str">
        <f t="shared" ref="P5:P13" si="3">IF(AND(D5=$C$46,O5=$B$42),"מלגה","")</f>
        <v/>
      </c>
      <c r="Q5" s="41" t="str">
        <f t="shared" ref="Q5:Q13" si="4">IF(OR(D5=$C$46,O5=$B$42),"מלגה","")</f>
        <v>מלגה</v>
      </c>
      <c r="R5" s="58" t="str">
        <f t="shared" ref="R5:R13" si="5">IF(NOT(N5&lt;$C$41),"מלגה","")</f>
        <v>מלגה</v>
      </c>
      <c r="S5" s="58"/>
      <c r="T5" s="54"/>
    </row>
    <row r="6" spans="1:20">
      <c r="A6" s="87"/>
      <c r="B6" s="29">
        <v>658370843</v>
      </c>
      <c r="C6" s="5" t="s">
        <v>4</v>
      </c>
      <c r="D6" s="5" t="s">
        <v>18</v>
      </c>
      <c r="E6" s="10">
        <v>2118758</v>
      </c>
      <c r="F6" s="13">
        <v>55326</v>
      </c>
      <c r="G6" s="37" t="s">
        <v>55</v>
      </c>
      <c r="H6" s="5">
        <v>67</v>
      </c>
      <c r="I6" s="5">
        <v>99</v>
      </c>
      <c r="J6" s="5">
        <v>69</v>
      </c>
      <c r="K6" s="16">
        <f t="shared" si="0"/>
        <v>78.333333333333329</v>
      </c>
      <c r="L6" s="5">
        <v>90</v>
      </c>
      <c r="M6" s="5">
        <v>85</v>
      </c>
      <c r="N6" s="19">
        <f t="shared" si="1"/>
        <v>84.5</v>
      </c>
      <c r="O6" s="5" t="str">
        <f t="shared" si="2"/>
        <v>מצטיין</v>
      </c>
      <c r="P6" s="5" t="str">
        <f t="shared" si="3"/>
        <v>מלגה</v>
      </c>
      <c r="Q6" s="41" t="str">
        <f t="shared" si="4"/>
        <v>מלגה</v>
      </c>
      <c r="R6" s="58" t="str">
        <f t="shared" si="5"/>
        <v>מלגה</v>
      </c>
      <c r="S6" s="58"/>
      <c r="T6" s="54"/>
    </row>
    <row r="7" spans="1:20">
      <c r="A7" s="87"/>
      <c r="B7" s="29">
        <v>830998987</v>
      </c>
      <c r="C7" s="5" t="s">
        <v>5</v>
      </c>
      <c r="D7" s="5" t="s">
        <v>18</v>
      </c>
      <c r="E7" s="10">
        <v>3527439</v>
      </c>
      <c r="F7" s="13">
        <v>56324</v>
      </c>
      <c r="G7" s="37" t="s">
        <v>55</v>
      </c>
      <c r="H7" s="5">
        <v>80</v>
      </c>
      <c r="I7" s="5"/>
      <c r="J7" s="5">
        <v>87</v>
      </c>
      <c r="K7" s="16">
        <f t="shared" si="0"/>
        <v>83.5</v>
      </c>
      <c r="L7" s="5">
        <v>90</v>
      </c>
      <c r="M7" s="5"/>
      <c r="N7" s="19">
        <f t="shared" si="1"/>
        <v>43.7</v>
      </c>
      <c r="O7" s="5" t="str">
        <f t="shared" si="2"/>
        <v>נכשל</v>
      </c>
      <c r="P7" s="5" t="str">
        <f t="shared" si="3"/>
        <v/>
      </c>
      <c r="Q7" s="41" t="str">
        <f t="shared" si="4"/>
        <v>מלגה</v>
      </c>
      <c r="R7" s="58" t="str">
        <f t="shared" si="5"/>
        <v/>
      </c>
      <c r="S7" s="58"/>
      <c r="T7" s="54"/>
    </row>
    <row r="8" spans="1:20">
      <c r="A8" s="87"/>
      <c r="B8" s="29">
        <v>123456789</v>
      </c>
      <c r="C8" s="5" t="s">
        <v>42</v>
      </c>
      <c r="D8" s="5" t="s">
        <v>17</v>
      </c>
      <c r="E8" s="10">
        <v>7563094</v>
      </c>
      <c r="F8" s="13">
        <v>86534</v>
      </c>
      <c r="G8" s="37" t="s">
        <v>55</v>
      </c>
      <c r="H8" s="5">
        <v>91</v>
      </c>
      <c r="I8" s="5">
        <v>79</v>
      </c>
      <c r="J8" s="5">
        <v>85</v>
      </c>
      <c r="K8" s="16">
        <f t="shared" si="0"/>
        <v>85</v>
      </c>
      <c r="L8" s="5">
        <v>100</v>
      </c>
      <c r="M8" s="5">
        <v>50</v>
      </c>
      <c r="N8" s="19">
        <f t="shared" si="1"/>
        <v>75.5</v>
      </c>
      <c r="O8" s="5" t="str">
        <f t="shared" si="2"/>
        <v>עובר</v>
      </c>
      <c r="P8" s="5" t="str">
        <f t="shared" si="3"/>
        <v/>
      </c>
      <c r="Q8" s="41" t="str">
        <f t="shared" si="4"/>
        <v/>
      </c>
      <c r="R8" s="58" t="str">
        <f t="shared" si="5"/>
        <v>מלגה</v>
      </c>
      <c r="S8" s="58"/>
      <c r="T8" s="54"/>
    </row>
    <row r="9" spans="1:20">
      <c r="A9" s="87"/>
      <c r="B9" s="29">
        <v>298754355</v>
      </c>
      <c r="C9" s="5" t="s">
        <v>6</v>
      </c>
      <c r="D9" s="5" t="s">
        <v>17</v>
      </c>
      <c r="E9" s="10">
        <v>8763456</v>
      </c>
      <c r="F9" s="13">
        <v>83934</v>
      </c>
      <c r="G9" s="37" t="s">
        <v>0</v>
      </c>
      <c r="H9" s="5">
        <v>88</v>
      </c>
      <c r="I9" s="5">
        <v>90</v>
      </c>
      <c r="J9" s="5">
        <v>74</v>
      </c>
      <c r="K9" s="16">
        <f t="shared" si="0"/>
        <v>84</v>
      </c>
      <c r="L9" s="5">
        <v>55</v>
      </c>
      <c r="M9" s="5">
        <v>45</v>
      </c>
      <c r="N9" s="19">
        <f t="shared" si="1"/>
        <v>59.7</v>
      </c>
      <c r="O9" s="5" t="str">
        <f t="shared" si="2"/>
        <v>עובר</v>
      </c>
      <c r="P9" s="5" t="str">
        <f t="shared" si="3"/>
        <v/>
      </c>
      <c r="Q9" s="41" t="str">
        <f t="shared" si="4"/>
        <v/>
      </c>
      <c r="R9" s="58" t="str">
        <f t="shared" si="5"/>
        <v>מלגה</v>
      </c>
      <c r="S9" s="58"/>
      <c r="T9" s="54"/>
    </row>
    <row r="10" spans="1:20">
      <c r="A10" s="87"/>
      <c r="B10" s="29">
        <v>983687692</v>
      </c>
      <c r="C10" s="5" t="s">
        <v>7</v>
      </c>
      <c r="D10" s="5" t="s">
        <v>18</v>
      </c>
      <c r="E10" s="10">
        <v>6347234</v>
      </c>
      <c r="F10" s="13">
        <v>55235</v>
      </c>
      <c r="G10" s="37" t="s">
        <v>0</v>
      </c>
      <c r="H10" s="5">
        <v>45</v>
      </c>
      <c r="I10" s="5">
        <v>60</v>
      </c>
      <c r="J10" s="5"/>
      <c r="K10" s="16">
        <f t="shared" si="0"/>
        <v>52.5</v>
      </c>
      <c r="L10" s="5">
        <v>99</v>
      </c>
      <c r="M10" s="5">
        <v>94</v>
      </c>
      <c r="N10" s="19">
        <f t="shared" si="1"/>
        <v>77.800000000000011</v>
      </c>
      <c r="O10" s="5" t="str">
        <f t="shared" si="2"/>
        <v>עובר</v>
      </c>
      <c r="P10" s="5" t="str">
        <f t="shared" si="3"/>
        <v/>
      </c>
      <c r="Q10" s="41" t="str">
        <f t="shared" si="4"/>
        <v>מלגה</v>
      </c>
      <c r="R10" s="58" t="str">
        <f t="shared" si="5"/>
        <v>מלגה</v>
      </c>
      <c r="S10" s="58"/>
      <c r="T10" s="54"/>
    </row>
    <row r="11" spans="1:20">
      <c r="A11" s="87"/>
      <c r="B11" s="29">
        <v>947465892</v>
      </c>
      <c r="C11" s="5" t="s">
        <v>19</v>
      </c>
      <c r="D11" s="5" t="s">
        <v>17</v>
      </c>
      <c r="E11" s="10">
        <v>3434324</v>
      </c>
      <c r="F11" s="13">
        <v>41466</v>
      </c>
      <c r="G11" s="37" t="s">
        <v>0</v>
      </c>
      <c r="H11" s="5"/>
      <c r="I11" s="5">
        <v>79</v>
      </c>
      <c r="J11" s="5">
        <v>99</v>
      </c>
      <c r="K11" s="16">
        <f t="shared" si="0"/>
        <v>89</v>
      </c>
      <c r="L11" s="5">
        <v>86</v>
      </c>
      <c r="M11" s="5">
        <v>65</v>
      </c>
      <c r="N11" s="19">
        <f t="shared" si="1"/>
        <v>69.599999999999994</v>
      </c>
      <c r="O11" s="5" t="str">
        <f t="shared" si="2"/>
        <v>עובר</v>
      </c>
      <c r="P11" s="5" t="str">
        <f t="shared" si="3"/>
        <v/>
      </c>
      <c r="Q11" s="41" t="str">
        <f t="shared" si="4"/>
        <v/>
      </c>
      <c r="R11" s="58" t="str">
        <f t="shared" si="5"/>
        <v>מלגה</v>
      </c>
      <c r="S11" s="58"/>
      <c r="T11" s="54"/>
    </row>
    <row r="12" spans="1:20">
      <c r="A12" s="87"/>
      <c r="B12" s="29">
        <v>388923057</v>
      </c>
      <c r="C12" s="5" t="s">
        <v>5</v>
      </c>
      <c r="D12" s="5" t="s">
        <v>18</v>
      </c>
      <c r="E12" s="10">
        <v>8743644</v>
      </c>
      <c r="F12" s="13">
        <v>44141</v>
      </c>
      <c r="G12" s="37" t="s">
        <v>0</v>
      </c>
      <c r="H12" s="5">
        <v>60</v>
      </c>
      <c r="I12" s="5">
        <v>100</v>
      </c>
      <c r="J12" s="5">
        <v>80</v>
      </c>
      <c r="K12" s="16">
        <f t="shared" si="0"/>
        <v>80</v>
      </c>
      <c r="L12" s="5">
        <v>40</v>
      </c>
      <c r="M12" s="5">
        <v>61</v>
      </c>
      <c r="N12" s="19">
        <f t="shared" si="1"/>
        <v>60.400000000000006</v>
      </c>
      <c r="O12" s="5" t="str">
        <f t="shared" si="2"/>
        <v>עובר</v>
      </c>
      <c r="P12" s="5" t="str">
        <f t="shared" si="3"/>
        <v/>
      </c>
      <c r="Q12" s="41" t="str">
        <f t="shared" si="4"/>
        <v>מלגה</v>
      </c>
      <c r="R12" s="58" t="str">
        <f t="shared" si="5"/>
        <v>מלגה</v>
      </c>
      <c r="S12" s="58"/>
      <c r="T12" s="54"/>
    </row>
    <row r="13" spans="1:20" ht="13.5" thickBot="1">
      <c r="A13" s="88"/>
      <c r="B13" s="30">
        <v>244576280</v>
      </c>
      <c r="C13" s="7" t="s">
        <v>19</v>
      </c>
      <c r="D13" s="7" t="s">
        <v>18</v>
      </c>
      <c r="E13" s="11">
        <v>3252524</v>
      </c>
      <c r="F13" s="14">
        <v>44451</v>
      </c>
      <c r="G13" s="38" t="s">
        <v>0</v>
      </c>
      <c r="H13" s="7">
        <v>94</v>
      </c>
      <c r="I13" s="7">
        <v>100</v>
      </c>
      <c r="J13" s="7">
        <v>93</v>
      </c>
      <c r="K13" s="17">
        <f t="shared" si="0"/>
        <v>95.666666666666671</v>
      </c>
      <c r="L13" s="7">
        <v>95</v>
      </c>
      <c r="M13" s="7">
        <v>100</v>
      </c>
      <c r="N13" s="20">
        <f t="shared" si="1"/>
        <v>97.2</v>
      </c>
      <c r="O13" s="7" t="str">
        <f t="shared" si="2"/>
        <v>מצטיין</v>
      </c>
      <c r="P13" s="7" t="str">
        <f t="shared" si="3"/>
        <v>מלגה</v>
      </c>
      <c r="Q13" s="42" t="str">
        <f t="shared" si="4"/>
        <v>מלגה</v>
      </c>
      <c r="R13" s="57" t="str">
        <f t="shared" si="5"/>
        <v>מלגה</v>
      </c>
      <c r="S13" s="57"/>
      <c r="T13" s="55"/>
    </row>
    <row r="14" spans="1:20" ht="14.25" thickTop="1" thickBot="1">
      <c r="L14"/>
      <c r="M14"/>
    </row>
    <row r="15" spans="1:20" ht="12.75" customHeight="1" thickTop="1">
      <c r="A15" s="89" t="s">
        <v>47</v>
      </c>
      <c r="B15" s="21" t="s">
        <v>20</v>
      </c>
      <c r="C15" s="21"/>
      <c r="D15" s="21"/>
      <c r="E15" s="21"/>
      <c r="F15" s="21"/>
      <c r="G15" s="21"/>
      <c r="H15" s="31">
        <f>AVERAGE(H4:H13)</f>
        <v>77.222222222222229</v>
      </c>
      <c r="I15" s="31">
        <f t="shared" ref="I15:N15" si="6">AVERAGE(I4:I13)</f>
        <v>85.888888888888886</v>
      </c>
      <c r="J15" s="31">
        <f t="shared" si="6"/>
        <v>85.333333333333329</v>
      </c>
      <c r="K15" s="31">
        <f t="shared" si="6"/>
        <v>82.033333333333331</v>
      </c>
      <c r="L15" s="31">
        <f t="shared" si="6"/>
        <v>83.5</v>
      </c>
      <c r="M15" s="31">
        <f t="shared" si="6"/>
        <v>73.444444444444443</v>
      </c>
      <c r="N15" s="32">
        <f t="shared" si="6"/>
        <v>73.849999999999994</v>
      </c>
    </row>
    <row r="16" spans="1:20">
      <c r="A16" s="90"/>
      <c r="B16" s="5" t="s">
        <v>21</v>
      </c>
      <c r="C16" s="5"/>
      <c r="D16" s="5"/>
      <c r="E16" s="5"/>
      <c r="F16" s="5"/>
      <c r="G16" s="5"/>
      <c r="H16" s="16">
        <f>MEDIAN(H4:H13)</f>
        <v>81</v>
      </c>
      <c r="I16" s="16">
        <f t="shared" ref="I16:N16" si="7">MEDIAN(I4:I13)</f>
        <v>86</v>
      </c>
      <c r="J16" s="16">
        <f t="shared" si="7"/>
        <v>85</v>
      </c>
      <c r="K16" s="16">
        <f t="shared" si="7"/>
        <v>83.75</v>
      </c>
      <c r="L16" s="16">
        <f t="shared" si="7"/>
        <v>90</v>
      </c>
      <c r="M16" s="16">
        <f t="shared" si="7"/>
        <v>80</v>
      </c>
      <c r="N16" s="24">
        <f t="shared" si="7"/>
        <v>76.650000000000006</v>
      </c>
    </row>
    <row r="17" spans="1:14">
      <c r="A17" s="90"/>
      <c r="B17" s="5" t="s">
        <v>22</v>
      </c>
      <c r="C17" s="5"/>
      <c r="D17" s="5"/>
      <c r="E17" s="5"/>
      <c r="F17" s="5"/>
      <c r="G17" s="5"/>
      <c r="H17" s="16" t="e">
        <f>MODE(H4:H13)</f>
        <v>#N/A</v>
      </c>
      <c r="I17" s="16">
        <f t="shared" ref="I17:N17" si="8">MODE(I4:I13)</f>
        <v>79</v>
      </c>
      <c r="J17" s="16">
        <f t="shared" si="8"/>
        <v>99</v>
      </c>
      <c r="K17" s="16" t="e">
        <f t="shared" si="8"/>
        <v>#N/A</v>
      </c>
      <c r="L17" s="16">
        <f t="shared" si="8"/>
        <v>99</v>
      </c>
      <c r="M17" s="16" t="e">
        <f t="shared" si="8"/>
        <v>#N/A</v>
      </c>
      <c r="N17" s="24" t="e">
        <f t="shared" si="8"/>
        <v>#N/A</v>
      </c>
    </row>
    <row r="18" spans="1:14">
      <c r="A18" s="90"/>
      <c r="B18" s="5" t="s">
        <v>23</v>
      </c>
      <c r="C18" s="5"/>
      <c r="D18" s="5"/>
      <c r="E18" s="5"/>
      <c r="F18" s="5"/>
      <c r="G18" s="5"/>
      <c r="H18" s="16">
        <f>MAX(H4:H13)</f>
        <v>94</v>
      </c>
      <c r="I18" s="16">
        <f t="shared" ref="I18:N18" si="9">MAX(I4:I13)</f>
        <v>100</v>
      </c>
      <c r="J18" s="16">
        <f t="shared" si="9"/>
        <v>99</v>
      </c>
      <c r="K18" s="16">
        <f t="shared" si="9"/>
        <v>95.666666666666671</v>
      </c>
      <c r="L18" s="16">
        <f t="shared" si="9"/>
        <v>100</v>
      </c>
      <c r="M18" s="16">
        <f t="shared" si="9"/>
        <v>100</v>
      </c>
      <c r="N18" s="24">
        <f t="shared" si="9"/>
        <v>97.2</v>
      </c>
    </row>
    <row r="19" spans="1:14">
      <c r="A19" s="90"/>
      <c r="B19" s="5" t="s">
        <v>24</v>
      </c>
      <c r="C19" s="5"/>
      <c r="D19" s="5"/>
      <c r="E19" s="5"/>
      <c r="F19" s="5"/>
      <c r="G19" s="5"/>
      <c r="H19" s="16">
        <f>MIN(H4:H13)</f>
        <v>45</v>
      </c>
      <c r="I19" s="16">
        <f t="shared" ref="I19:N19" si="10">MIN(I4:I13)</f>
        <v>60</v>
      </c>
      <c r="J19" s="16">
        <f t="shared" si="10"/>
        <v>69</v>
      </c>
      <c r="K19" s="16">
        <f t="shared" si="10"/>
        <v>52.5</v>
      </c>
      <c r="L19" s="16">
        <f t="shared" si="10"/>
        <v>40</v>
      </c>
      <c r="M19" s="16">
        <f t="shared" si="10"/>
        <v>45</v>
      </c>
      <c r="N19" s="24">
        <f t="shared" si="10"/>
        <v>43.7</v>
      </c>
    </row>
    <row r="20" spans="1:14">
      <c r="A20" s="90"/>
      <c r="B20" s="5" t="s">
        <v>43</v>
      </c>
      <c r="C20" s="5"/>
      <c r="D20" s="5"/>
      <c r="E20" s="5"/>
      <c r="F20" s="5"/>
      <c r="G20" s="5"/>
      <c r="H20" s="16">
        <f>STDEV(H4:H13)</f>
        <v>16.536155673083279</v>
      </c>
      <c r="I20" s="16">
        <f t="shared" ref="I20:N20" si="11">STDEV(I4:I13)</f>
        <v>13.166666666666675</v>
      </c>
      <c r="J20" s="16">
        <f t="shared" si="11"/>
        <v>10.428326807307105</v>
      </c>
      <c r="K20" s="16">
        <f t="shared" si="11"/>
        <v>11.67534069082849</v>
      </c>
      <c r="L20" s="16">
        <f t="shared" si="11"/>
        <v>20.23885152648517</v>
      </c>
      <c r="M20" s="16">
        <f t="shared" si="11"/>
        <v>19.190564811327921</v>
      </c>
      <c r="N20" s="24">
        <f t="shared" si="11"/>
        <v>15.877534793257764</v>
      </c>
    </row>
    <row r="21" spans="1:14">
      <c r="A21" s="90"/>
      <c r="B21" s="5" t="s">
        <v>44</v>
      </c>
      <c r="C21" s="5"/>
      <c r="D21" s="5"/>
      <c r="E21" s="5"/>
      <c r="F21" s="5"/>
      <c r="G21" s="5"/>
      <c r="H21" s="16">
        <f>VAR(H4:H13)</f>
        <v>273.44444444444434</v>
      </c>
      <c r="I21" s="16">
        <f t="shared" ref="I21:N21" si="12">VAR(I4:I13)</f>
        <v>173.36111111111131</v>
      </c>
      <c r="J21" s="16">
        <f t="shared" si="12"/>
        <v>108.75</v>
      </c>
      <c r="K21" s="16">
        <f t="shared" si="12"/>
        <v>136.31358024691548</v>
      </c>
      <c r="L21" s="16">
        <f t="shared" si="12"/>
        <v>409.61111111111109</v>
      </c>
      <c r="M21" s="16">
        <f t="shared" si="12"/>
        <v>368.27777777777737</v>
      </c>
      <c r="N21" s="24">
        <f t="shared" si="12"/>
        <v>252.09611111111087</v>
      </c>
    </row>
    <row r="22" spans="1:14">
      <c r="A22" s="90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0"/>
      <c r="B23" s="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3"/>
    </row>
    <row r="24" spans="1:14">
      <c r="A24" s="90"/>
      <c r="B24" s="5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3"/>
    </row>
    <row r="25" spans="1:14">
      <c r="A25" s="90"/>
      <c r="B25" s="5" t="s">
        <v>53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3"/>
    </row>
    <row r="26" spans="1:14">
      <c r="A26" s="90"/>
      <c r="B26" s="37" t="s">
        <v>60</v>
      </c>
      <c r="C26" s="5" t="str">
        <f>B45</f>
        <v>סטודנטים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>
      <c r="A27" s="91"/>
      <c r="B27" s="43"/>
      <c r="C27" s="5" t="str">
        <f>B46</f>
        <v>סטודנטיות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>
      <c r="A28" s="91"/>
      <c r="B28" s="43" t="s">
        <v>38</v>
      </c>
      <c r="C28" s="43"/>
      <c r="D28" s="43">
        <f>COUNTA(C4:C13)</f>
        <v>10</v>
      </c>
      <c r="E28" s="43"/>
      <c r="F28" s="43"/>
      <c r="G28" s="47" t="s">
        <v>63</v>
      </c>
      <c r="H28" s="48"/>
      <c r="I28" s="48"/>
      <c r="J28" s="48"/>
      <c r="K28" s="48"/>
      <c r="L28" s="48"/>
      <c r="M28" s="48"/>
      <c r="N28" s="49"/>
    </row>
    <row r="29" spans="1:14">
      <c r="A29" s="91"/>
      <c r="B29" s="37" t="s">
        <v>60</v>
      </c>
      <c r="C29" s="43" t="str">
        <f>B45</f>
        <v>סטודנטים</v>
      </c>
      <c r="D29" s="43"/>
      <c r="E29" s="43"/>
      <c r="F29" s="43"/>
      <c r="G29" s="46" t="s">
        <v>62</v>
      </c>
      <c r="H29" s="48"/>
      <c r="I29" s="48"/>
      <c r="J29" s="48"/>
      <c r="K29" s="48"/>
      <c r="L29" s="48"/>
      <c r="M29" s="48"/>
      <c r="N29" s="49"/>
    </row>
    <row r="30" spans="1:14" ht="13.5" thickBot="1">
      <c r="A30" s="92"/>
      <c r="B30" s="7"/>
      <c r="C30" s="7" t="str">
        <f>B46</f>
        <v>סטודנטיות</v>
      </c>
      <c r="D30" s="7"/>
      <c r="E30" s="7"/>
      <c r="F30" s="7"/>
      <c r="G30" s="7" t="s">
        <v>62</v>
      </c>
      <c r="H30" s="50"/>
      <c r="I30" s="52"/>
      <c r="J30" s="50"/>
      <c r="K30" s="50"/>
      <c r="L30" s="50"/>
      <c r="M30" s="50"/>
      <c r="N30" s="51"/>
    </row>
    <row r="31" spans="1:14" ht="14.25" thickTop="1" thickBot="1">
      <c r="L31"/>
      <c r="M31"/>
    </row>
    <row r="32" spans="1:14" ht="13.5" thickTop="1">
      <c r="A32" s="80" t="s">
        <v>48</v>
      </c>
      <c r="B32" s="21" t="s">
        <v>26</v>
      </c>
      <c r="C32" s="33">
        <v>0.1</v>
      </c>
      <c r="L32"/>
      <c r="M32"/>
    </row>
    <row r="33" spans="1:14">
      <c r="A33" s="81"/>
      <c r="B33" s="5" t="s">
        <v>27</v>
      </c>
      <c r="C33" s="34">
        <v>0.1</v>
      </c>
      <c r="L33"/>
      <c r="M33"/>
    </row>
    <row r="34" spans="1:14">
      <c r="A34" s="81"/>
      <c r="B34" s="5" t="s">
        <v>28</v>
      </c>
      <c r="C34" s="34">
        <v>0.1</v>
      </c>
      <c r="L34"/>
      <c r="M34"/>
    </row>
    <row r="35" spans="1:14">
      <c r="A35" s="81"/>
      <c r="B35" s="5" t="s">
        <v>29</v>
      </c>
      <c r="C35" s="34">
        <v>0.3</v>
      </c>
      <c r="L35"/>
      <c r="M35"/>
    </row>
    <row r="36" spans="1:14">
      <c r="A36" s="81"/>
      <c r="B36" s="5" t="s">
        <v>30</v>
      </c>
      <c r="C36" s="34">
        <v>0.4</v>
      </c>
      <c r="L36"/>
      <c r="M36"/>
    </row>
    <row r="37" spans="1:14" ht="13.5" thickBot="1">
      <c r="A37" s="82"/>
      <c r="B37" s="7" t="s">
        <v>31</v>
      </c>
      <c r="C37" s="35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80" t="s">
        <v>49</v>
      </c>
      <c r="B39" s="21"/>
      <c r="C39" s="21" t="s">
        <v>32</v>
      </c>
      <c r="D39" s="22" t="s">
        <v>33</v>
      </c>
      <c r="L39"/>
      <c r="M39"/>
      <c r="N39" s="1"/>
    </row>
    <row r="40" spans="1:14">
      <c r="A40" s="81"/>
      <c r="B40" s="5" t="s">
        <v>34</v>
      </c>
      <c r="C40" s="16">
        <v>0</v>
      </c>
      <c r="D40" s="24">
        <v>59.49</v>
      </c>
      <c r="E40" s="3"/>
      <c r="F40" s="3"/>
      <c r="G40" s="3"/>
      <c r="L40"/>
      <c r="M40"/>
      <c r="N40" s="2"/>
    </row>
    <row r="41" spans="1:14">
      <c r="A41" s="81"/>
      <c r="B41" s="5" t="s">
        <v>35</v>
      </c>
      <c r="C41" s="16">
        <v>59.5</v>
      </c>
      <c r="D41" s="24">
        <v>84.49</v>
      </c>
      <c r="E41" s="3"/>
      <c r="F41" s="3"/>
      <c r="G41" s="3"/>
      <c r="L41"/>
      <c r="M41"/>
      <c r="N41" s="1"/>
    </row>
    <row r="42" spans="1:14" ht="13.5" thickBot="1">
      <c r="A42" s="82"/>
      <c r="B42" s="7" t="s">
        <v>36</v>
      </c>
      <c r="C42" s="17">
        <f>84.5</f>
        <v>84.5</v>
      </c>
      <c r="D42" s="25">
        <v>100</v>
      </c>
      <c r="E42" s="45"/>
      <c r="F42" s="3"/>
      <c r="G42" s="3"/>
      <c r="L42"/>
      <c r="M42"/>
      <c r="N42" s="1"/>
    </row>
    <row r="43" spans="1:14" ht="14.25" thickTop="1" thickBot="1"/>
    <row r="44" spans="1:14" ht="13.5" thickTop="1">
      <c r="A44" s="80" t="s">
        <v>58</v>
      </c>
      <c r="B44" s="83" t="s">
        <v>8</v>
      </c>
      <c r="C44" s="84"/>
    </row>
    <row r="45" spans="1:14">
      <c r="A45" s="81"/>
      <c r="B45" s="5" t="s">
        <v>56</v>
      </c>
      <c r="C45" s="24" t="s">
        <v>17</v>
      </c>
    </row>
    <row r="46" spans="1:14" ht="13.5" thickBot="1">
      <c r="A46" s="82"/>
      <c r="B46" s="7" t="s">
        <v>57</v>
      </c>
      <c r="C46" s="25" t="s">
        <v>18</v>
      </c>
    </row>
    <row r="47" spans="1:14" ht="13.5" thickTop="1"/>
  </sheetData>
  <mergeCells count="7">
    <mergeCell ref="A44:A46"/>
    <mergeCell ref="B44:C44"/>
    <mergeCell ref="A1:R1"/>
    <mergeCell ref="A3:A13"/>
    <mergeCell ref="A15:A30"/>
    <mergeCell ref="A32:A37"/>
    <mergeCell ref="A39:A42"/>
  </mergeCells>
  <conditionalFormatting sqref="B4:B13">
    <cfRule type="duplicateValues" dxfId="73" priority="11"/>
  </conditionalFormatting>
  <conditionalFormatting sqref="N4:N13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9">
      <iconSet iconSet="3Symbols2">
        <cfvo type="percent" val="0"/>
        <cfvo type="percent" val="33"/>
        <cfvo type="percent" val="67"/>
      </iconSet>
    </cfRule>
    <cfRule type="dataBar" priority="10">
      <dataBar>
        <cfvo type="min"/>
        <cfvo type="max"/>
        <color rgb="FF008AEF"/>
      </dataBar>
    </cfRule>
  </conditionalFormatting>
  <conditionalFormatting sqref="O4:O13">
    <cfRule type="cellIs" dxfId="72" priority="5" operator="equal">
      <formula>$B$40</formula>
    </cfRule>
    <cfRule type="cellIs" dxfId="71" priority="6" operator="equal">
      <formula>$B$41</formula>
    </cfRule>
    <cfRule type="cellIs" dxfId="70" priority="7" operator="equal">
      <formula>$B$42</formula>
    </cfRule>
  </conditionalFormatting>
  <conditionalFormatting sqref="B4:Q13">
    <cfRule type="expression" dxfId="69" priority="4">
      <formula>$O4=$B$40</formula>
    </cfRule>
  </conditionalFormatting>
  <conditionalFormatting sqref="S4:S13">
    <cfRule type="expression" dxfId="68" priority="3">
      <formula>$O4=$B$40</formula>
    </cfRule>
  </conditionalFormatting>
  <conditionalFormatting sqref="T4:T13">
    <cfRule type="expression" dxfId="67" priority="2">
      <formula>$O4=$B$40</formula>
    </cfRule>
  </conditionalFormatting>
  <conditionalFormatting sqref="R4:R13">
    <cfRule type="expression" dxfId="66" priority="1">
      <formula>$O4=$B$40</formula>
    </cfRule>
  </conditionalFormatting>
  <dataValidations disablePrompts="1"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  <dataValidation type="whole" allowBlank="1" showInputMessage="1" showErrorMessage="1" sqref="H4:J13 L4:M13">
      <formula1>$C$40</formula1>
      <formula2>$D$42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workbookViewId="0"/>
  </sheetViews>
  <sheetFormatPr defaultRowHeight="12.75"/>
  <cols>
    <col min="1" max="1" width="11" bestFit="1" customWidth="1"/>
    <col min="2" max="2" width="10.140625" style="95" bestFit="1" customWidth="1"/>
    <col min="3" max="3" width="9.140625" style="94"/>
    <col min="5" max="5" width="10.140625" bestFit="1" customWidth="1"/>
    <col min="6" max="7" width="9.140625" style="94"/>
    <col min="8" max="8" width="9.140625" style="93"/>
  </cols>
  <sheetData>
    <row r="1" spans="1:8">
      <c r="A1" s="100" t="s">
        <v>79</v>
      </c>
      <c r="B1" s="95">
        <f ca="1">TODAY()</f>
        <v>41969</v>
      </c>
      <c r="D1" s="107" t="s">
        <v>78</v>
      </c>
      <c r="E1" s="107"/>
      <c r="F1" s="110">
        <f ca="1">NOW()</f>
        <v>41969.442468865738</v>
      </c>
      <c r="G1" s="106"/>
    </row>
    <row r="3" spans="1:8" s="100" customFormat="1">
      <c r="A3" s="105" t="s">
        <v>77</v>
      </c>
      <c r="B3" s="105"/>
      <c r="C3" s="105"/>
      <c r="D3" s="105" t="s">
        <v>76</v>
      </c>
      <c r="E3" s="105"/>
      <c r="F3" s="105"/>
      <c r="G3" s="101"/>
      <c r="H3" s="104"/>
    </row>
    <row r="4" spans="1:8" s="100" customFormat="1">
      <c r="A4" s="103" t="s">
        <v>75</v>
      </c>
      <c r="B4" s="102" t="s">
        <v>74</v>
      </c>
      <c r="C4" s="101" t="s">
        <v>73</v>
      </c>
      <c r="D4" s="103" t="s">
        <v>75</v>
      </c>
      <c r="E4" s="102" t="s">
        <v>74</v>
      </c>
      <c r="F4" s="101" t="s">
        <v>73</v>
      </c>
      <c r="G4" s="101" t="s">
        <v>72</v>
      </c>
      <c r="H4" s="101" t="s">
        <v>72</v>
      </c>
    </row>
    <row r="5" spans="1:8">
      <c r="A5" s="96">
        <f>WEEKDAY(B5,1)</f>
        <v>5</v>
      </c>
      <c r="B5" s="98">
        <v>40213</v>
      </c>
      <c r="C5" s="97">
        <v>0.35416666666666669</v>
      </c>
      <c r="D5" s="96">
        <f>WEEKDAY(E5,1)</f>
        <v>5</v>
      </c>
      <c r="E5" s="98">
        <v>40213</v>
      </c>
      <c r="F5" s="97">
        <v>0.39583333333333331</v>
      </c>
      <c r="G5" s="97">
        <f>F5-C5</f>
        <v>4.166666666666663E-2</v>
      </c>
      <c r="H5" s="109">
        <f>(F5-C5)*24</f>
        <v>0.99999999999999911</v>
      </c>
    </row>
    <row r="6" spans="1:8">
      <c r="A6" s="96">
        <f>WEEKDAY(B6,1)</f>
        <v>1</v>
      </c>
      <c r="B6" s="98">
        <v>40216</v>
      </c>
      <c r="C6" s="97">
        <v>0.53125</v>
      </c>
      <c r="D6" s="96">
        <f>WEEKDAY(E6,1)</f>
        <v>1</v>
      </c>
      <c r="E6" s="98">
        <v>40216</v>
      </c>
      <c r="F6" s="97">
        <v>0.58333333333333337</v>
      </c>
      <c r="G6" s="97">
        <f>F6-C6</f>
        <v>5.208333333333337E-2</v>
      </c>
      <c r="H6" s="109">
        <f>(F6-C6)*24</f>
        <v>1.2500000000000009</v>
      </c>
    </row>
    <row r="7" spans="1:8">
      <c r="A7" s="96">
        <f>WEEKDAY(B7,1)</f>
        <v>2</v>
      </c>
      <c r="B7" s="98">
        <v>40217</v>
      </c>
      <c r="C7" s="97">
        <v>0.92708333333333337</v>
      </c>
      <c r="D7" s="96">
        <f>WEEKDAY(E7,1)</f>
        <v>3</v>
      </c>
      <c r="E7" s="98">
        <v>40218</v>
      </c>
      <c r="F7" s="97">
        <v>0.13541666666666666</v>
      </c>
      <c r="G7" s="97">
        <f>F7-C7</f>
        <v>-0.79166666666666674</v>
      </c>
      <c r="H7" s="109">
        <f>(F7-C7)*24</f>
        <v>-19</v>
      </c>
    </row>
    <row r="8" spans="1:8">
      <c r="A8" s="96">
        <f>WEEKDAY(B8,1)</f>
        <v>4</v>
      </c>
      <c r="B8" s="98">
        <v>40219</v>
      </c>
      <c r="C8" s="97">
        <v>0.5625</v>
      </c>
      <c r="D8" s="96">
        <f>WEEKDAY(E8,1)</f>
        <v>4</v>
      </c>
      <c r="E8" s="98">
        <v>40219</v>
      </c>
      <c r="F8" s="97">
        <v>0.60416666666666663</v>
      </c>
      <c r="G8" s="97">
        <f>F8-C8</f>
        <v>4.166666666666663E-2</v>
      </c>
      <c r="H8" s="109">
        <f>(F8-C8)*24</f>
        <v>0.99999999999999911</v>
      </c>
    </row>
    <row r="9" spans="1:8">
      <c r="A9" s="96">
        <f>WEEKDAY(B9,1)</f>
        <v>5</v>
      </c>
      <c r="B9" s="98">
        <v>40220</v>
      </c>
      <c r="C9" s="97">
        <v>0.3263888888888889</v>
      </c>
      <c r="D9" s="96">
        <f>WEEKDAY(E9,1)</f>
        <v>5</v>
      </c>
      <c r="E9" s="98">
        <v>40220</v>
      </c>
      <c r="F9" s="97">
        <v>0.54861111111111105</v>
      </c>
      <c r="G9" s="97">
        <f>F9-C9</f>
        <v>0.22222222222222215</v>
      </c>
      <c r="H9" s="109">
        <f>(F9-C9)*24</f>
        <v>5.3333333333333321</v>
      </c>
    </row>
    <row r="10" spans="1:8">
      <c r="A10" s="96">
        <f>WEEKDAY(B10,1)</f>
        <v>1</v>
      </c>
      <c r="B10" s="98">
        <v>40223</v>
      </c>
      <c r="C10" s="97">
        <v>0.3888888888888889</v>
      </c>
      <c r="D10" s="96">
        <f>WEEKDAY(E10,1)</f>
        <v>1</v>
      </c>
      <c r="E10" s="98">
        <v>40223</v>
      </c>
      <c r="F10" s="97">
        <v>0.4201388888888889</v>
      </c>
      <c r="G10" s="97">
        <f>F10-C10</f>
        <v>3.125E-2</v>
      </c>
      <c r="H10" s="109">
        <f>(F10-C10)*24</f>
        <v>0.75</v>
      </c>
    </row>
    <row r="11" spans="1:8">
      <c r="A11" s="96">
        <f>WEEKDAY(B11,1)</f>
        <v>2</v>
      </c>
      <c r="B11" s="98">
        <v>40224</v>
      </c>
      <c r="C11" s="97">
        <v>0.3611111111111111</v>
      </c>
      <c r="D11" s="96">
        <f>WEEKDAY(E11,1)</f>
        <v>2</v>
      </c>
      <c r="E11" s="98">
        <v>40224</v>
      </c>
      <c r="F11" s="97">
        <v>0.45833333333333331</v>
      </c>
      <c r="G11" s="97">
        <f>F11-C11</f>
        <v>9.722222222222221E-2</v>
      </c>
      <c r="H11" s="109">
        <f>(F11-C11)*24</f>
        <v>2.333333333333333</v>
      </c>
    </row>
    <row r="12" spans="1:8">
      <c r="A12" s="96">
        <f>WEEKDAY(B12,1)</f>
        <v>3</v>
      </c>
      <c r="B12" s="98">
        <v>40225</v>
      </c>
      <c r="C12" s="97">
        <v>0.40625</v>
      </c>
      <c r="D12" s="96">
        <f>WEEKDAY(E12,1)</f>
        <v>3</v>
      </c>
      <c r="E12" s="98">
        <v>40225</v>
      </c>
      <c r="F12" s="97">
        <v>0.4375</v>
      </c>
      <c r="G12" s="97">
        <f>F12-C12</f>
        <v>3.125E-2</v>
      </c>
      <c r="H12" s="109">
        <f>(F12-C12)*24</f>
        <v>0.75</v>
      </c>
    </row>
    <row r="13" spans="1:8">
      <c r="A13" s="96">
        <f>WEEKDAY(B13,1)</f>
        <v>1</v>
      </c>
      <c r="B13" s="98">
        <v>40230</v>
      </c>
      <c r="C13" s="97">
        <v>0.53472222222222221</v>
      </c>
      <c r="D13" s="96">
        <f>WEEKDAY(E13,1)</f>
        <v>1</v>
      </c>
      <c r="E13" s="98">
        <v>40230</v>
      </c>
      <c r="F13" s="97">
        <v>0.58333333333333337</v>
      </c>
      <c r="G13" s="97">
        <f>F13-C13</f>
        <v>4.861111111111116E-2</v>
      </c>
      <c r="H13" s="109">
        <f>(F13-C13)*24</f>
        <v>1.1666666666666679</v>
      </c>
    </row>
    <row r="14" spans="1:8">
      <c r="A14" s="96">
        <f>WEEKDAY(B14,1)</f>
        <v>1</v>
      </c>
      <c r="B14" s="98">
        <v>40237</v>
      </c>
      <c r="C14" s="97">
        <v>0.625</v>
      </c>
      <c r="D14" s="96">
        <f>WEEKDAY(E14,1)</f>
        <v>1</v>
      </c>
      <c r="E14" s="98">
        <v>40237</v>
      </c>
      <c r="F14" s="97">
        <v>0.79166666666666663</v>
      </c>
      <c r="G14" s="97">
        <f>F14-C14</f>
        <v>0.16666666666666663</v>
      </c>
      <c r="H14" s="109">
        <f>(F14-C14)*24</f>
        <v>3.9999999999999991</v>
      </c>
    </row>
    <row r="15" spans="1:8">
      <c r="B15"/>
      <c r="C15"/>
      <c r="F15"/>
      <c r="G15"/>
      <c r="H15"/>
    </row>
    <row r="16" spans="1:8" s="94" customFormat="1">
      <c r="A16"/>
      <c r="B16"/>
      <c r="C16"/>
      <c r="D16"/>
      <c r="E16"/>
      <c r="F16"/>
      <c r="G16"/>
      <c r="H16"/>
    </row>
    <row r="17" spans="1:8" s="94" customFormat="1">
      <c r="A17"/>
      <c r="B17"/>
      <c r="C17"/>
      <c r="D17"/>
      <c r="E17"/>
      <c r="F17"/>
      <c r="G17"/>
      <c r="H17"/>
    </row>
    <row r="18" spans="1:8" s="94" customFormat="1">
      <c r="A18"/>
      <c r="B18"/>
      <c r="C18"/>
      <c r="D18"/>
      <c r="E18"/>
      <c r="F18"/>
      <c r="G18"/>
      <c r="H18"/>
    </row>
    <row r="19" spans="1:8" s="94" customFormat="1">
      <c r="A19"/>
      <c r="B19"/>
      <c r="C19"/>
      <c r="D19"/>
      <c r="E19"/>
      <c r="F19"/>
      <c r="G19"/>
      <c r="H19"/>
    </row>
    <row r="20" spans="1:8" s="94" customFormat="1">
      <c r="A20"/>
      <c r="B20"/>
      <c r="C20"/>
      <c r="D20"/>
      <c r="E20"/>
      <c r="F20"/>
      <c r="G20"/>
      <c r="H20"/>
    </row>
    <row r="21" spans="1:8" s="94" customFormat="1">
      <c r="A21"/>
      <c r="B21"/>
      <c r="C21"/>
      <c r="D21"/>
      <c r="E21"/>
      <c r="F21"/>
      <c r="G21"/>
      <c r="H21"/>
    </row>
    <row r="22" spans="1:8" s="94" customFormat="1">
      <c r="A22"/>
      <c r="B22"/>
      <c r="C22"/>
      <c r="D22"/>
      <c r="E22"/>
      <c r="F22"/>
      <c r="G22"/>
      <c r="H22"/>
    </row>
    <row r="23" spans="1:8" s="94" customFormat="1">
      <c r="A23"/>
      <c r="B23"/>
      <c r="C23"/>
      <c r="D23"/>
      <c r="E23"/>
      <c r="F23"/>
      <c r="G23"/>
      <c r="H23"/>
    </row>
    <row r="24" spans="1:8" s="94" customFormat="1">
      <c r="A24"/>
      <c r="B24"/>
      <c r="C24"/>
      <c r="D24"/>
      <c r="E24"/>
      <c r="F24"/>
      <c r="G24"/>
      <c r="H24"/>
    </row>
    <row r="25" spans="1:8" s="94" customFormat="1">
      <c r="A25"/>
      <c r="B25"/>
      <c r="C25"/>
      <c r="D25"/>
      <c r="E25"/>
      <c r="F25"/>
      <c r="G25"/>
      <c r="H25"/>
    </row>
    <row r="26" spans="1:8" s="94" customFormat="1">
      <c r="A26"/>
      <c r="B26"/>
      <c r="C26"/>
      <c r="D26"/>
      <c r="E26"/>
      <c r="F26"/>
      <c r="G26"/>
      <c r="H26"/>
    </row>
    <row r="27" spans="1:8" s="94" customFormat="1">
      <c r="A27"/>
      <c r="B27"/>
      <c r="C27"/>
      <c r="D27"/>
      <c r="E27"/>
      <c r="F27"/>
      <c r="G27"/>
      <c r="H27"/>
    </row>
  </sheetData>
  <mergeCells count="4">
    <mergeCell ref="D1:E1"/>
    <mergeCell ref="F1:G1"/>
    <mergeCell ref="A3:C3"/>
    <mergeCell ref="D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workbookViewId="0"/>
  </sheetViews>
  <sheetFormatPr defaultRowHeight="12.75"/>
  <cols>
    <col min="1" max="1" width="11" bestFit="1" customWidth="1"/>
    <col min="2" max="2" width="10.140625" style="95" bestFit="1" customWidth="1"/>
    <col min="3" max="3" width="9.140625" style="94"/>
    <col min="5" max="5" width="10.140625" bestFit="1" customWidth="1"/>
    <col min="6" max="7" width="9.140625" style="94"/>
    <col min="8" max="8" width="9.140625" style="93"/>
  </cols>
  <sheetData>
    <row r="1" spans="1:8">
      <c r="A1" s="100" t="s">
        <v>79</v>
      </c>
      <c r="B1" s="95">
        <f ca="1">TODAY()</f>
        <v>41969</v>
      </c>
      <c r="D1" s="107" t="s">
        <v>78</v>
      </c>
      <c r="E1" s="107"/>
      <c r="F1" s="110">
        <f ca="1">NOW()</f>
        <v>41969.442468865738</v>
      </c>
      <c r="G1" s="106"/>
    </row>
    <row r="3" spans="1:8" s="100" customFormat="1">
      <c r="A3" s="105" t="s">
        <v>77</v>
      </c>
      <c r="B3" s="105"/>
      <c r="C3" s="105"/>
      <c r="D3" s="105" t="s">
        <v>76</v>
      </c>
      <c r="E3" s="105"/>
      <c r="F3" s="105"/>
      <c r="G3" s="101"/>
      <c r="H3" s="104"/>
    </row>
    <row r="4" spans="1:8" s="100" customFormat="1">
      <c r="A4" s="103" t="s">
        <v>75</v>
      </c>
      <c r="B4" s="102" t="s">
        <v>74</v>
      </c>
      <c r="C4" s="101" t="s">
        <v>73</v>
      </c>
      <c r="D4" s="103" t="s">
        <v>75</v>
      </c>
      <c r="E4" s="102" t="s">
        <v>74</v>
      </c>
      <c r="F4" s="101" t="s">
        <v>73</v>
      </c>
      <c r="G4" s="101" t="s">
        <v>72</v>
      </c>
      <c r="H4" s="101" t="s">
        <v>72</v>
      </c>
    </row>
    <row r="5" spans="1:8">
      <c r="A5" s="99">
        <f>WEEKDAY(B5,1)</f>
        <v>5</v>
      </c>
      <c r="B5" s="98">
        <v>40213</v>
      </c>
      <c r="C5" s="97">
        <v>0.35416666666666669</v>
      </c>
      <c r="D5" s="111">
        <f>WEEKDAY(E5,1)</f>
        <v>5</v>
      </c>
      <c r="E5" s="98">
        <v>40213</v>
      </c>
      <c r="F5" s="97">
        <v>0.39583333333333331</v>
      </c>
      <c r="G5" s="97">
        <f>(E5+F5)-(B5+C5)</f>
        <v>4.1666666671517305E-2</v>
      </c>
      <c r="H5" s="109">
        <f>((E5+F5)-(B5+C5))*24</f>
        <v>1.0000000001164153</v>
      </c>
    </row>
    <row r="6" spans="1:8">
      <c r="A6" s="99">
        <f>WEEKDAY(B6,1)</f>
        <v>1</v>
      </c>
      <c r="B6" s="98">
        <v>40216</v>
      </c>
      <c r="C6" s="97">
        <v>0.53125</v>
      </c>
      <c r="D6" s="111">
        <f>WEEKDAY(E6,1)</f>
        <v>1</v>
      </c>
      <c r="E6" s="98">
        <v>40216</v>
      </c>
      <c r="F6" s="97">
        <v>0.58333333333333337</v>
      </c>
      <c r="G6" s="97">
        <f>(E6+F6)-(B6+C6)</f>
        <v>5.2083333335758653E-2</v>
      </c>
      <c r="H6" s="109">
        <f>((E6+F6)-(B6+C6))*24</f>
        <v>1.2500000000582077</v>
      </c>
    </row>
    <row r="7" spans="1:8">
      <c r="A7" s="99">
        <f>WEEKDAY(B7,1)</f>
        <v>2</v>
      </c>
      <c r="B7" s="98">
        <v>40217</v>
      </c>
      <c r="C7" s="97">
        <v>0.92708333333333337</v>
      </c>
      <c r="D7" s="111">
        <f>WEEKDAY(E7,1)</f>
        <v>3</v>
      </c>
      <c r="E7" s="98">
        <v>40218</v>
      </c>
      <c r="F7" s="97">
        <v>0.13541666666666666</v>
      </c>
      <c r="G7" s="97">
        <f>(E7+F7)-(B7+C7)</f>
        <v>0.20833333332848269</v>
      </c>
      <c r="H7" s="109">
        <f>((E7+F7)-(B7+C7))*24</f>
        <v>4.9999999998835847</v>
      </c>
    </row>
    <row r="8" spans="1:8">
      <c r="A8" s="99">
        <f>WEEKDAY(B8,1)</f>
        <v>4</v>
      </c>
      <c r="B8" s="98">
        <v>40219</v>
      </c>
      <c r="C8" s="97">
        <v>0.5625</v>
      </c>
      <c r="D8" s="111">
        <f>WEEKDAY(E8,1)</f>
        <v>4</v>
      </c>
      <c r="E8" s="98">
        <v>40219</v>
      </c>
      <c r="F8" s="97">
        <v>0.60416666666666663</v>
      </c>
      <c r="G8" s="97">
        <f>(E8+F8)-(B8+C8)</f>
        <v>4.1666666664241347E-2</v>
      </c>
      <c r="H8" s="109">
        <f>((E8+F8)-(B8+C8))*24</f>
        <v>0.99999999994179234</v>
      </c>
    </row>
    <row r="9" spans="1:8">
      <c r="A9" s="99">
        <f>WEEKDAY(B9,1)</f>
        <v>5</v>
      </c>
      <c r="B9" s="98">
        <v>40220</v>
      </c>
      <c r="C9" s="97">
        <v>0.3263888888888889</v>
      </c>
      <c r="D9" s="111">
        <f>WEEKDAY(E9,1)</f>
        <v>5</v>
      </c>
      <c r="E9" s="98">
        <v>40220</v>
      </c>
      <c r="F9" s="97">
        <v>0.54861111111111105</v>
      </c>
      <c r="G9" s="97">
        <f>(E9+F9)-(B9+C9)</f>
        <v>0.22222222221898846</v>
      </c>
      <c r="H9" s="109">
        <f>((E9+F9)-(B9+C9))*24</f>
        <v>5.3333333332557231</v>
      </c>
    </row>
    <row r="10" spans="1:8">
      <c r="A10" s="99">
        <f>WEEKDAY(B10,1)</f>
        <v>1</v>
      </c>
      <c r="B10" s="98">
        <v>40223</v>
      </c>
      <c r="C10" s="97">
        <v>0.3888888888888889</v>
      </c>
      <c r="D10" s="111">
        <f>WEEKDAY(E10,1)</f>
        <v>1</v>
      </c>
      <c r="E10" s="98">
        <v>40223</v>
      </c>
      <c r="F10" s="97">
        <v>0.4201388888888889</v>
      </c>
      <c r="G10" s="97">
        <f>(E10+F10)-(B10+C10)</f>
        <v>3.125E-2</v>
      </c>
      <c r="H10" s="109">
        <f>((E10+F10)-(B10+C10))*24</f>
        <v>0.75</v>
      </c>
    </row>
    <row r="11" spans="1:8">
      <c r="A11" s="99">
        <f>WEEKDAY(B11,1)</f>
        <v>2</v>
      </c>
      <c r="B11" s="98">
        <v>40224</v>
      </c>
      <c r="C11" s="97">
        <v>0.3611111111111111</v>
      </c>
      <c r="D11" s="111">
        <f>WEEKDAY(E11,1)</f>
        <v>2</v>
      </c>
      <c r="E11" s="98">
        <v>40224</v>
      </c>
      <c r="F11" s="97">
        <v>0.45833333333333331</v>
      </c>
      <c r="G11" s="97">
        <f>(E11+F11)-(B11+C11)</f>
        <v>9.7222222226264421E-2</v>
      </c>
      <c r="H11" s="109">
        <f>((E11+F11)-(B11+C11))*24</f>
        <v>2.3333333334303461</v>
      </c>
    </row>
    <row r="12" spans="1:8">
      <c r="A12" s="99">
        <f>WEEKDAY(B12,1)</f>
        <v>3</v>
      </c>
      <c r="B12" s="98">
        <v>40225</v>
      </c>
      <c r="C12" s="97">
        <v>0.40625</v>
      </c>
      <c r="D12" s="111">
        <f>WEEKDAY(E12,1)</f>
        <v>3</v>
      </c>
      <c r="E12" s="98">
        <v>40225</v>
      </c>
      <c r="F12" s="97">
        <v>0.4375</v>
      </c>
      <c r="G12" s="97">
        <f>(E12+F12)-(B12+C12)</f>
        <v>3.125E-2</v>
      </c>
      <c r="H12" s="109">
        <f>((E12+F12)-(B12+C12))*24</f>
        <v>0.75</v>
      </c>
    </row>
    <row r="13" spans="1:8">
      <c r="A13" s="99">
        <f>WEEKDAY(B13,1)</f>
        <v>1</v>
      </c>
      <c r="B13" s="98">
        <v>40230</v>
      </c>
      <c r="C13" s="97">
        <v>0.53472222222222221</v>
      </c>
      <c r="D13" s="111">
        <f>WEEKDAY(E13,1)</f>
        <v>1</v>
      </c>
      <c r="E13" s="98">
        <v>40230</v>
      </c>
      <c r="F13" s="97">
        <v>0.58333333333333337</v>
      </c>
      <c r="G13" s="97">
        <f>(E13+F13)-(B13+C13)</f>
        <v>4.8611111116770189E-2</v>
      </c>
      <c r="H13" s="109">
        <f>((E13+F13)-(B13+C13))*24</f>
        <v>1.1666666668024845</v>
      </c>
    </row>
    <row r="14" spans="1:8">
      <c r="A14" s="99">
        <f>WEEKDAY(B14,1)</f>
        <v>1</v>
      </c>
      <c r="B14" s="98">
        <v>40237</v>
      </c>
      <c r="C14" s="97">
        <v>0.625</v>
      </c>
      <c r="D14" s="111">
        <f>WEEKDAY(E14,1)</f>
        <v>1</v>
      </c>
      <c r="E14" s="98">
        <v>40237</v>
      </c>
      <c r="F14" s="97">
        <v>0.79166666666666663</v>
      </c>
      <c r="G14" s="97">
        <f>(E14+F14)-(B14+C14)</f>
        <v>0.16666666666424135</v>
      </c>
      <c r="H14" s="109">
        <f>((E14+F14)-(B14+C14))*24</f>
        <v>3.9999999999417923</v>
      </c>
    </row>
    <row r="15" spans="1:8">
      <c r="B15"/>
      <c r="C15"/>
      <c r="F15"/>
      <c r="G15"/>
      <c r="H15"/>
    </row>
    <row r="16" spans="1:8" s="94" customFormat="1">
      <c r="A16"/>
      <c r="B16"/>
      <c r="C16"/>
      <c r="D16"/>
      <c r="E16"/>
      <c r="F16"/>
      <c r="G16"/>
      <c r="H16"/>
    </row>
    <row r="17" spans="1:8" s="94" customFormat="1">
      <c r="A17"/>
      <c r="B17"/>
      <c r="C17"/>
      <c r="D17"/>
      <c r="E17"/>
      <c r="F17"/>
      <c r="G17"/>
      <c r="H17"/>
    </row>
    <row r="18" spans="1:8" s="94" customFormat="1">
      <c r="A18"/>
      <c r="B18"/>
      <c r="C18"/>
      <c r="D18"/>
      <c r="E18"/>
      <c r="F18"/>
      <c r="G18"/>
      <c r="H18"/>
    </row>
    <row r="19" spans="1:8" s="94" customFormat="1">
      <c r="A19"/>
      <c r="B19"/>
      <c r="C19"/>
      <c r="D19"/>
      <c r="E19"/>
      <c r="F19"/>
      <c r="G19"/>
      <c r="H19"/>
    </row>
    <row r="20" spans="1:8" s="94" customFormat="1">
      <c r="A20"/>
      <c r="B20"/>
      <c r="C20"/>
      <c r="D20"/>
      <c r="E20"/>
      <c r="F20"/>
      <c r="G20"/>
      <c r="H20"/>
    </row>
    <row r="21" spans="1:8" s="94" customFormat="1">
      <c r="A21"/>
      <c r="B21"/>
      <c r="C21"/>
      <c r="D21"/>
      <c r="E21"/>
      <c r="F21"/>
      <c r="G21"/>
      <c r="H21"/>
    </row>
    <row r="22" spans="1:8" s="94" customFormat="1">
      <c r="A22"/>
      <c r="B22"/>
      <c r="C22"/>
      <c r="D22"/>
      <c r="E22"/>
      <c r="F22"/>
      <c r="G22"/>
      <c r="H22"/>
    </row>
    <row r="23" spans="1:8" s="94" customFormat="1">
      <c r="A23"/>
      <c r="B23"/>
      <c r="C23"/>
      <c r="D23"/>
      <c r="E23"/>
      <c r="F23"/>
      <c r="G23"/>
      <c r="H23"/>
    </row>
    <row r="24" spans="1:8" s="94" customFormat="1">
      <c r="A24"/>
      <c r="B24"/>
      <c r="C24"/>
      <c r="D24"/>
      <c r="E24"/>
      <c r="F24"/>
      <c r="G24"/>
      <c r="H24"/>
    </row>
    <row r="25" spans="1:8" s="94" customFormat="1">
      <c r="A25"/>
      <c r="B25"/>
      <c r="C25"/>
      <c r="D25"/>
      <c r="E25"/>
      <c r="F25"/>
      <c r="G25"/>
      <c r="H25"/>
    </row>
    <row r="26" spans="1:8" s="94" customFormat="1">
      <c r="A26"/>
      <c r="B26"/>
      <c r="C26"/>
      <c r="D26"/>
      <c r="E26"/>
      <c r="F26"/>
      <c r="G26"/>
      <c r="H26"/>
    </row>
    <row r="27" spans="1:8" s="94" customFormat="1">
      <c r="A27"/>
      <c r="B27"/>
      <c r="C27"/>
      <c r="D27"/>
      <c r="E27"/>
      <c r="F27"/>
      <c r="G27"/>
      <c r="H27"/>
    </row>
  </sheetData>
  <mergeCells count="4">
    <mergeCell ref="D1:E1"/>
    <mergeCell ref="F1:G1"/>
    <mergeCell ref="A3:C3"/>
    <mergeCell ref="D3:F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rightToLeft="1" workbookViewId="0">
      <selection sqref="A1:B1"/>
    </sheetView>
  </sheetViews>
  <sheetFormatPr defaultRowHeight="12.75"/>
  <cols>
    <col min="1" max="1" width="10.140625" bestFit="1" customWidth="1"/>
    <col min="2" max="2" width="6.140625" bestFit="1" customWidth="1"/>
    <col min="3" max="3" width="5.5703125" customWidth="1"/>
    <col min="4" max="4" width="5" bestFit="1" customWidth="1"/>
    <col min="5" max="5" width="9.140625" style="113" bestFit="1" customWidth="1"/>
    <col min="6" max="6" width="7.5703125" bestFit="1" customWidth="1"/>
    <col min="7" max="8" width="6.5703125" bestFit="1" customWidth="1"/>
    <col min="9" max="9" width="10.140625" bestFit="1" customWidth="1"/>
    <col min="10" max="10" width="10.85546875" bestFit="1" customWidth="1"/>
    <col min="11" max="11" width="10.42578125" style="113" customWidth="1"/>
    <col min="12" max="12" width="7.5703125" bestFit="1" customWidth="1"/>
    <col min="13" max="13" width="10.140625" bestFit="1" customWidth="1"/>
    <col min="14" max="14" width="15.140625" style="112" bestFit="1" customWidth="1"/>
    <col min="15" max="15" width="12.5703125" style="112" bestFit="1" customWidth="1"/>
  </cols>
  <sheetData>
    <row r="1" spans="1:21">
      <c r="A1" s="132" t="s">
        <v>102</v>
      </c>
      <c r="B1" s="132"/>
      <c r="C1">
        <v>15</v>
      </c>
    </row>
    <row r="2" spans="1:21" s="128" customForma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30" t="s">
        <v>100</v>
      </c>
      <c r="K2" s="130"/>
      <c r="L2" s="130"/>
      <c r="M2" s="130"/>
      <c r="N2" s="131" t="s">
        <v>99</v>
      </c>
      <c r="O2" s="131"/>
      <c r="P2" s="130" t="s">
        <v>98</v>
      </c>
      <c r="Q2" s="130"/>
      <c r="R2" s="130"/>
      <c r="S2" s="129" t="s">
        <v>97</v>
      </c>
      <c r="T2" s="129"/>
      <c r="U2" s="129"/>
    </row>
    <row r="3" spans="1:21" s="125" customFormat="1" ht="38.25">
      <c r="A3" s="126" t="s">
        <v>96</v>
      </c>
      <c r="B3" s="126" t="s">
        <v>95</v>
      </c>
      <c r="C3" s="126" t="s">
        <v>94</v>
      </c>
      <c r="D3" s="126" t="s">
        <v>93</v>
      </c>
      <c r="E3" s="126" t="s">
        <v>92</v>
      </c>
      <c r="F3" s="126" t="s">
        <v>86</v>
      </c>
      <c r="G3" s="126" t="s">
        <v>91</v>
      </c>
      <c r="H3" s="126" t="s">
        <v>90</v>
      </c>
      <c r="I3" s="126" t="s">
        <v>89</v>
      </c>
      <c r="J3" s="127" t="s">
        <v>88</v>
      </c>
      <c r="K3" s="127" t="s">
        <v>87</v>
      </c>
      <c r="L3" s="127" t="s">
        <v>86</v>
      </c>
      <c r="M3" s="127" t="s">
        <v>85</v>
      </c>
      <c r="N3" s="126" t="s">
        <v>84</v>
      </c>
      <c r="O3" s="126" t="s">
        <v>83</v>
      </c>
      <c r="P3" s="127" t="s">
        <v>82</v>
      </c>
      <c r="Q3" s="127" t="s">
        <v>81</v>
      </c>
      <c r="R3" s="127" t="s">
        <v>80</v>
      </c>
      <c r="S3" s="126" t="s">
        <v>82</v>
      </c>
      <c r="T3" s="126" t="s">
        <v>81</v>
      </c>
      <c r="U3" s="126" t="s">
        <v>80</v>
      </c>
    </row>
    <row r="4" spans="1:21">
      <c r="A4" s="121">
        <v>39814</v>
      </c>
      <c r="B4" s="122"/>
      <c r="C4" s="122"/>
      <c r="D4" s="122"/>
      <c r="E4" s="124">
        <v>480.82</v>
      </c>
      <c r="F4" s="123"/>
      <c r="G4" s="122"/>
      <c r="H4" s="122"/>
      <c r="I4" s="121"/>
      <c r="J4" s="118">
        <v>38754</v>
      </c>
      <c r="K4" s="120">
        <v>437.12</v>
      </c>
      <c r="L4" s="119"/>
      <c r="M4" s="118"/>
      <c r="N4" s="117">
        <v>1000</v>
      </c>
      <c r="O4" s="117"/>
      <c r="P4" s="116"/>
      <c r="Q4" s="116"/>
      <c r="R4" s="116"/>
      <c r="S4" s="115"/>
      <c r="T4" s="115"/>
      <c r="U4" s="114"/>
    </row>
    <row r="5" spans="1:21">
      <c r="A5" s="121">
        <v>39848</v>
      </c>
      <c r="B5" s="122"/>
      <c r="C5" s="122"/>
      <c r="D5" s="122"/>
      <c r="E5" s="124">
        <v>480.37</v>
      </c>
      <c r="F5" s="123"/>
      <c r="G5" s="122"/>
      <c r="H5" s="122"/>
      <c r="I5" s="121"/>
      <c r="J5" s="118">
        <v>38720</v>
      </c>
      <c r="K5" s="120">
        <v>437.56</v>
      </c>
      <c r="L5" s="119"/>
      <c r="M5" s="118"/>
      <c r="N5" s="117">
        <v>1100</v>
      </c>
      <c r="O5" s="117"/>
      <c r="P5" s="116"/>
      <c r="Q5" s="116"/>
      <c r="R5" s="116"/>
      <c r="S5" s="115"/>
      <c r="T5" s="115"/>
      <c r="U5" s="114"/>
    </row>
    <row r="6" spans="1:21">
      <c r="A6" s="121">
        <v>39882</v>
      </c>
      <c r="B6" s="122"/>
      <c r="C6" s="122"/>
      <c r="D6" s="122"/>
      <c r="E6" s="124">
        <v>477.82</v>
      </c>
      <c r="F6" s="123"/>
      <c r="G6" s="122"/>
      <c r="H6" s="122"/>
      <c r="I6" s="121"/>
      <c r="J6" s="118">
        <v>38686</v>
      </c>
      <c r="K6" s="120">
        <v>434.95</v>
      </c>
      <c r="L6" s="119"/>
      <c r="M6" s="118"/>
      <c r="N6" s="117">
        <v>1200</v>
      </c>
      <c r="O6" s="117"/>
      <c r="P6" s="116"/>
      <c r="Q6" s="116"/>
      <c r="R6" s="116"/>
      <c r="S6" s="115"/>
      <c r="T6" s="115"/>
      <c r="U6" s="114"/>
    </row>
    <row r="7" spans="1:21">
      <c r="A7" s="121">
        <v>39916</v>
      </c>
      <c r="B7" s="122"/>
      <c r="C7" s="122"/>
      <c r="D7" s="122"/>
      <c r="E7" s="124">
        <v>477.35</v>
      </c>
      <c r="F7" s="123"/>
      <c r="G7" s="122"/>
      <c r="H7" s="122"/>
      <c r="I7" s="121"/>
      <c r="J7" s="118">
        <v>38652</v>
      </c>
      <c r="K7" s="120">
        <v>435.82</v>
      </c>
      <c r="L7" s="119"/>
      <c r="M7" s="118"/>
      <c r="N7" s="117">
        <v>1300</v>
      </c>
      <c r="O7" s="117"/>
      <c r="P7" s="116"/>
      <c r="Q7" s="116"/>
      <c r="R7" s="116"/>
      <c r="S7" s="115"/>
      <c r="T7" s="115"/>
      <c r="U7" s="114"/>
    </row>
    <row r="8" spans="1:21">
      <c r="A8" s="121">
        <v>39948</v>
      </c>
      <c r="B8" s="122"/>
      <c r="C8" s="122"/>
      <c r="D8" s="122"/>
      <c r="E8" s="124">
        <v>484.47</v>
      </c>
      <c r="F8" s="123"/>
      <c r="G8" s="122"/>
      <c r="H8" s="122"/>
      <c r="I8" s="121"/>
      <c r="J8" s="118">
        <v>38618</v>
      </c>
      <c r="K8" s="120">
        <v>434.95</v>
      </c>
      <c r="L8" s="119"/>
      <c r="M8" s="118"/>
      <c r="N8" s="117">
        <v>1400</v>
      </c>
      <c r="O8" s="117"/>
      <c r="P8" s="116"/>
      <c r="Q8" s="116"/>
      <c r="R8" s="116"/>
      <c r="S8" s="115"/>
      <c r="T8" s="115"/>
      <c r="U8" s="114"/>
    </row>
    <row r="9" spans="1:21">
      <c r="A9" s="121">
        <v>39984</v>
      </c>
      <c r="B9" s="122"/>
      <c r="C9" s="122"/>
      <c r="D9" s="122"/>
      <c r="E9" s="124">
        <v>486.37</v>
      </c>
      <c r="F9" s="123"/>
      <c r="G9" s="122"/>
      <c r="H9" s="122"/>
      <c r="I9" s="121"/>
      <c r="J9" s="118">
        <v>38584</v>
      </c>
      <c r="K9" s="120">
        <v>437.99</v>
      </c>
      <c r="L9" s="119"/>
      <c r="M9" s="118"/>
      <c r="N9" s="117">
        <v>1500</v>
      </c>
      <c r="O9" s="117"/>
      <c r="P9" s="116"/>
      <c r="Q9" s="116"/>
      <c r="R9" s="116"/>
      <c r="S9" s="115"/>
      <c r="T9" s="115"/>
      <c r="U9" s="114"/>
    </row>
    <row r="10" spans="1:21">
      <c r="A10" s="121">
        <v>40018</v>
      </c>
      <c r="B10" s="122"/>
      <c r="C10" s="122"/>
      <c r="D10" s="122"/>
      <c r="E10" s="124">
        <v>490.64</v>
      </c>
      <c r="F10" s="123"/>
      <c r="G10" s="122"/>
      <c r="H10" s="122"/>
      <c r="I10" s="121"/>
      <c r="J10" s="118">
        <v>38550</v>
      </c>
      <c r="K10" s="120">
        <v>439.73</v>
      </c>
      <c r="L10" s="119"/>
      <c r="M10" s="118"/>
      <c r="N10" s="117">
        <v>1600</v>
      </c>
      <c r="O10" s="117"/>
      <c r="P10" s="116"/>
      <c r="Q10" s="116"/>
      <c r="R10" s="116"/>
      <c r="S10" s="115"/>
      <c r="T10" s="115"/>
      <c r="U10" s="114"/>
    </row>
    <row r="11" spans="1:21">
      <c r="A11" s="121">
        <v>40052</v>
      </c>
      <c r="B11" s="122"/>
      <c r="C11" s="122"/>
      <c r="D11" s="122"/>
      <c r="E11" s="124">
        <v>495.86</v>
      </c>
      <c r="F11" s="123"/>
      <c r="G11" s="122"/>
      <c r="H11" s="122"/>
      <c r="I11" s="121"/>
      <c r="J11" s="118">
        <v>38516</v>
      </c>
      <c r="K11" s="120">
        <v>444.52</v>
      </c>
      <c r="L11" s="119"/>
      <c r="M11" s="118"/>
      <c r="N11" s="117">
        <v>1700</v>
      </c>
      <c r="O11" s="117"/>
      <c r="P11" s="116"/>
      <c r="Q11" s="116"/>
      <c r="R11" s="116"/>
      <c r="S11" s="115"/>
      <c r="T11" s="115"/>
      <c r="U11" s="114"/>
    </row>
    <row r="12" spans="1:21">
      <c r="A12" s="121">
        <v>40086</v>
      </c>
      <c r="B12" s="122"/>
      <c r="C12" s="122"/>
      <c r="D12" s="122"/>
      <c r="E12" s="124">
        <v>498.23</v>
      </c>
      <c r="F12" s="123"/>
      <c r="G12" s="122"/>
      <c r="H12" s="122"/>
      <c r="I12" s="121"/>
      <c r="J12" s="118">
        <v>38482</v>
      </c>
      <c r="K12" s="120">
        <v>445.39</v>
      </c>
      <c r="L12" s="119"/>
      <c r="M12" s="118"/>
      <c r="N12" s="117">
        <v>1800</v>
      </c>
      <c r="O12" s="117"/>
      <c r="P12" s="116"/>
      <c r="Q12" s="116"/>
      <c r="R12" s="116"/>
      <c r="S12" s="115"/>
      <c r="T12" s="115"/>
      <c r="U12" s="114"/>
    </row>
    <row r="13" spans="1:21">
      <c r="A13" s="121">
        <v>40120</v>
      </c>
      <c r="B13" s="122"/>
      <c r="C13" s="122"/>
      <c r="D13" s="122"/>
      <c r="E13" s="124">
        <v>496.81</v>
      </c>
      <c r="F13" s="123"/>
      <c r="G13" s="122"/>
      <c r="H13" s="122"/>
      <c r="I13" s="121"/>
      <c r="J13" s="118">
        <v>38448</v>
      </c>
      <c r="K13" s="120">
        <v>445.82</v>
      </c>
      <c r="L13" s="119"/>
      <c r="M13" s="118"/>
      <c r="N13" s="117">
        <v>1900</v>
      </c>
      <c r="O13" s="117"/>
      <c r="P13" s="116"/>
      <c r="Q13" s="116"/>
      <c r="R13" s="116"/>
      <c r="S13" s="115"/>
      <c r="T13" s="115"/>
      <c r="U13" s="114"/>
    </row>
    <row r="14" spans="1:21">
      <c r="A14" s="121">
        <v>40154</v>
      </c>
      <c r="B14" s="122"/>
      <c r="C14" s="122"/>
      <c r="D14" s="122"/>
      <c r="E14" s="124">
        <v>497.75</v>
      </c>
      <c r="F14" s="123"/>
      <c r="G14" s="122"/>
      <c r="H14" s="122"/>
      <c r="I14" s="121"/>
      <c r="J14" s="118">
        <v>38414</v>
      </c>
      <c r="K14" s="120">
        <v>449.3</v>
      </c>
      <c r="L14" s="119"/>
      <c r="M14" s="118"/>
      <c r="N14" s="117">
        <v>2000</v>
      </c>
      <c r="O14" s="117"/>
      <c r="P14" s="116"/>
      <c r="Q14" s="116"/>
      <c r="R14" s="116"/>
      <c r="S14" s="115"/>
      <c r="T14" s="115"/>
      <c r="U14" s="114"/>
    </row>
    <row r="15" spans="1:21">
      <c r="A15" s="121">
        <v>40188</v>
      </c>
      <c r="B15" s="122"/>
      <c r="C15" s="122"/>
      <c r="D15" s="122"/>
      <c r="E15" s="124">
        <v>499.18</v>
      </c>
      <c r="F15" s="123"/>
      <c r="G15" s="122"/>
      <c r="H15" s="122"/>
      <c r="I15" s="121"/>
      <c r="J15" s="118">
        <v>38380</v>
      </c>
      <c r="K15" s="120">
        <v>448.87</v>
      </c>
      <c r="L15" s="119"/>
      <c r="M15" s="118"/>
      <c r="N15" s="117">
        <v>2100</v>
      </c>
      <c r="O15" s="117"/>
      <c r="P15" s="116"/>
      <c r="Q15" s="116"/>
      <c r="R15" s="116"/>
      <c r="S15" s="115"/>
      <c r="T15" s="115"/>
      <c r="U15" s="114"/>
    </row>
    <row r="16" spans="1:21">
      <c r="A16" s="121">
        <v>40222</v>
      </c>
      <c r="B16" s="122"/>
      <c r="C16" s="122"/>
      <c r="D16" s="122"/>
      <c r="E16" s="124">
        <v>499.18</v>
      </c>
      <c r="F16" s="123"/>
      <c r="G16" s="122"/>
      <c r="H16" s="122"/>
      <c r="I16" s="121"/>
      <c r="J16" s="118">
        <v>38346</v>
      </c>
      <c r="K16" s="120">
        <v>448</v>
      </c>
      <c r="L16" s="119"/>
      <c r="M16" s="118"/>
      <c r="N16" s="117">
        <v>2200</v>
      </c>
      <c r="O16" s="117"/>
      <c r="P16" s="116"/>
      <c r="Q16" s="116"/>
      <c r="R16" s="116"/>
      <c r="S16" s="115"/>
      <c r="T16" s="115"/>
      <c r="U16" s="114"/>
    </row>
  </sheetData>
  <mergeCells count="6">
    <mergeCell ref="S2:U2"/>
    <mergeCell ref="A1:B1"/>
    <mergeCell ref="A2:I2"/>
    <mergeCell ref="J2:M2"/>
    <mergeCell ref="P2:R2"/>
    <mergeCell ref="N2:O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rightToLeft="1" workbookViewId="0">
      <selection sqref="A1:B1"/>
    </sheetView>
  </sheetViews>
  <sheetFormatPr defaultRowHeight="12.75"/>
  <cols>
    <col min="1" max="1" width="10.140625" bestFit="1" customWidth="1"/>
    <col min="2" max="2" width="6.140625" bestFit="1" customWidth="1"/>
    <col min="3" max="3" width="5.5703125" customWidth="1"/>
    <col min="4" max="4" width="5" bestFit="1" customWidth="1"/>
    <col min="5" max="5" width="9.140625" style="113" bestFit="1" customWidth="1"/>
    <col min="6" max="6" width="7.5703125" bestFit="1" customWidth="1"/>
    <col min="7" max="8" width="6.5703125" bestFit="1" customWidth="1"/>
    <col min="9" max="9" width="10.140625" bestFit="1" customWidth="1"/>
    <col min="10" max="10" width="10.85546875" bestFit="1" customWidth="1"/>
    <col min="11" max="11" width="10.42578125" style="113" customWidth="1"/>
    <col min="12" max="12" width="7.5703125" bestFit="1" customWidth="1"/>
    <col min="13" max="13" width="10.140625" bestFit="1" customWidth="1"/>
    <col min="14" max="14" width="15.140625" style="112" bestFit="1" customWidth="1"/>
    <col min="15" max="15" width="12.5703125" style="112" bestFit="1" customWidth="1"/>
  </cols>
  <sheetData>
    <row r="1" spans="1:21">
      <c r="A1" s="132" t="s">
        <v>102</v>
      </c>
      <c r="B1" s="132"/>
      <c r="C1">
        <v>15</v>
      </c>
    </row>
    <row r="2" spans="1:21" s="128" customForma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30" t="s">
        <v>100</v>
      </c>
      <c r="K2" s="130"/>
      <c r="L2" s="130"/>
      <c r="M2" s="130"/>
      <c r="N2" s="131" t="s">
        <v>99</v>
      </c>
      <c r="O2" s="131"/>
      <c r="P2" s="130" t="s">
        <v>98</v>
      </c>
      <c r="Q2" s="130"/>
      <c r="R2" s="130"/>
      <c r="S2" s="129" t="s">
        <v>97</v>
      </c>
      <c r="T2" s="129"/>
      <c r="U2" s="129"/>
    </row>
    <row r="3" spans="1:21" s="125" customFormat="1" ht="38.25">
      <c r="A3" s="126" t="s">
        <v>96</v>
      </c>
      <c r="B3" s="126" t="s">
        <v>95</v>
      </c>
      <c r="C3" s="126" t="s">
        <v>94</v>
      </c>
      <c r="D3" s="126" t="s">
        <v>93</v>
      </c>
      <c r="E3" s="126" t="s">
        <v>92</v>
      </c>
      <c r="F3" s="126" t="s">
        <v>86</v>
      </c>
      <c r="G3" s="126" t="s">
        <v>91</v>
      </c>
      <c r="H3" s="126" t="s">
        <v>90</v>
      </c>
      <c r="I3" s="126" t="s">
        <v>89</v>
      </c>
      <c r="J3" s="127" t="s">
        <v>88</v>
      </c>
      <c r="K3" s="127" t="s">
        <v>87</v>
      </c>
      <c r="L3" s="127" t="s">
        <v>86</v>
      </c>
      <c r="M3" s="127" t="s">
        <v>85</v>
      </c>
      <c r="N3" s="126" t="s">
        <v>84</v>
      </c>
      <c r="O3" s="126" t="s">
        <v>83</v>
      </c>
      <c r="P3" s="127" t="s">
        <v>82</v>
      </c>
      <c r="Q3" s="127" t="s">
        <v>81</v>
      </c>
      <c r="R3" s="127" t="s">
        <v>80</v>
      </c>
      <c r="S3" s="126" t="s">
        <v>82</v>
      </c>
      <c r="T3" s="126" t="s">
        <v>81</v>
      </c>
      <c r="U3" s="126" t="s">
        <v>80</v>
      </c>
    </row>
    <row r="4" spans="1:21">
      <c r="A4" s="121">
        <v>39814</v>
      </c>
      <c r="B4" s="122">
        <f>DAY(A4)</f>
        <v>1</v>
      </c>
      <c r="C4" s="122">
        <f>MONTH(A4)</f>
        <v>1</v>
      </c>
      <c r="D4" s="122">
        <f>YEAR(A4)</f>
        <v>2009</v>
      </c>
      <c r="E4" s="124">
        <v>480.82</v>
      </c>
      <c r="F4" s="134">
        <f>IF(C4=1,DATE(D4-1,12,1),DATE(D4,C4-1,1))</f>
        <v>39783</v>
      </c>
      <c r="G4" s="122">
        <f>IF(B4&lt;$C$1,IF(C4=1,12,C4-1),C4)</f>
        <v>12</v>
      </c>
      <c r="H4" s="122">
        <f>IF(AND(B4&lt;$C$1,C4=1),D4-1,D4)</f>
        <v>2008</v>
      </c>
      <c r="I4" s="121">
        <f>DATE(H4,G4,$C$1)</f>
        <v>39797</v>
      </c>
      <c r="J4" s="118">
        <v>38754</v>
      </c>
      <c r="K4" s="120">
        <v>437.12</v>
      </c>
      <c r="L4" s="133">
        <f>(IF(MONTH(M4)=1,DATE(YEAR(M4)-1,12,1),DATE(YEAR(M4),MONTH(M4)-1,1)))</f>
        <v>38687</v>
      </c>
      <c r="M4" s="118">
        <f>DATE(IF(DAY(J4)&lt;$C$1,IF(MONTH(J4)-1=0,YEAR(J4)-1,YEAR(J4)),YEAR(J4)),IF(DAY(J4)&lt;$C$1,IF(MONTH(J4)-1=0,12,MONTH(J4)-1),MONTH(J4)),$C$1)</f>
        <v>38732</v>
      </c>
      <c r="N4" s="117">
        <v>1000</v>
      </c>
      <c r="O4" s="117">
        <f>N4*E4/K4</f>
        <v>1099.9725475841874</v>
      </c>
      <c r="P4" s="116"/>
      <c r="Q4" s="116"/>
      <c r="R4" s="116"/>
      <c r="S4" s="115"/>
      <c r="T4" s="115"/>
      <c r="U4" s="114"/>
    </row>
    <row r="5" spans="1:21">
      <c r="A5" s="121">
        <v>39848</v>
      </c>
      <c r="B5" s="122">
        <f>DAY(A5)</f>
        <v>4</v>
      </c>
      <c r="C5" s="122">
        <f>MONTH(A5)</f>
        <v>2</v>
      </c>
      <c r="D5" s="122">
        <f>YEAR(A5)</f>
        <v>2009</v>
      </c>
      <c r="E5" s="124">
        <v>480.37</v>
      </c>
      <c r="F5" s="134">
        <f>IF(C5=1,DATE(D5-1,12,1),DATE(D5,C5-1,1))</f>
        <v>39814</v>
      </c>
      <c r="G5" s="122">
        <f>IF(B5&lt;$C$1,IF(C5=1,12,C5-1),C5)</f>
        <v>1</v>
      </c>
      <c r="H5" s="122">
        <f>IF(B5&lt;$C$1,IF(C5=1,D5-1,D5),D5)</f>
        <v>2009</v>
      </c>
      <c r="I5" s="121">
        <f>DATE(H5,G5,$C$1)</f>
        <v>39828</v>
      </c>
      <c r="J5" s="118">
        <v>38720</v>
      </c>
      <c r="K5" s="120">
        <v>437.56</v>
      </c>
      <c r="L5" s="133">
        <f>(IF(MONTH(M5)=1,DATE(YEAR(M5)-1,12,1),DATE(YEAR(M5),MONTH(M5)-1,1)))</f>
        <v>38657</v>
      </c>
      <c r="M5" s="118">
        <f>DATE(IF(AND(DAY(J5)&lt;$C$1,MONTH(J5)=1),YEAR(J5)-1,YEAR(J5)),IF(DAY(J5)&lt;$C$1,IF(MONTH(J5)-1=0,12,MONTH(J5)-1),MONTH(J5)),$C$1)</f>
        <v>38701</v>
      </c>
      <c r="N5" s="117">
        <v>1100</v>
      </c>
      <c r="O5" s="117">
        <f>N5*E5/K5</f>
        <v>1207.6218118658012</v>
      </c>
      <c r="P5" s="116"/>
      <c r="Q5" s="116"/>
      <c r="R5" s="116"/>
      <c r="S5" s="115"/>
      <c r="T5" s="115"/>
      <c r="U5" s="114"/>
    </row>
    <row r="6" spans="1:21">
      <c r="A6" s="121">
        <v>39882</v>
      </c>
      <c r="B6" s="122">
        <f>DAY(A6)</f>
        <v>10</v>
      </c>
      <c r="C6" s="122">
        <f>MONTH(A6)</f>
        <v>3</v>
      </c>
      <c r="D6" s="122">
        <f>YEAR(A6)</f>
        <v>2009</v>
      </c>
      <c r="E6" s="124">
        <v>477.82</v>
      </c>
      <c r="F6" s="134">
        <f>IF(C6=1,DATE(D6-1,12,1),DATE(D6,C6-1,1))</f>
        <v>39845</v>
      </c>
      <c r="G6" s="122">
        <f>IF(B6&lt;$C$1,IF(C6=1,12,C6-1),C6)</f>
        <v>2</v>
      </c>
      <c r="H6" s="122">
        <f>IF(B6&lt;$C$1,IF(C6=1,D6-1,D6),D6)</f>
        <v>2009</v>
      </c>
      <c r="I6" s="121">
        <f>DATE(H6,G6,$C$1)</f>
        <v>39859</v>
      </c>
      <c r="J6" s="118">
        <v>38686</v>
      </c>
      <c r="K6" s="120">
        <v>434.95</v>
      </c>
      <c r="L6" s="133">
        <f>(IF(MONTH(M6)=1,DATE(YEAR(M6)-1,12,1),DATE(YEAR(M6),MONTH(M6)-1,1)))</f>
        <v>38626</v>
      </c>
      <c r="M6" s="118">
        <f>DATE(IF(AND(DAY(J6)&lt;$C$1,MONTH(J6)=1),YEAR(J6)-1,YEAR(J6)),IF(DAY(J6)&lt;$C$1,IF(MONTH(J6)-1=0,12,MONTH(J6)-1),MONTH(J6)),$C$1)</f>
        <v>38671</v>
      </c>
      <c r="N6" s="117">
        <v>1200</v>
      </c>
      <c r="O6" s="117">
        <f>N6*E6/K6</f>
        <v>1318.2756638694102</v>
      </c>
      <c r="P6" s="116"/>
      <c r="Q6" s="116"/>
      <c r="R6" s="116"/>
      <c r="S6" s="115"/>
      <c r="T6" s="115"/>
      <c r="U6" s="114"/>
    </row>
    <row r="7" spans="1:21">
      <c r="A7" s="121">
        <v>39916</v>
      </c>
      <c r="B7" s="122">
        <f>DAY(A7)</f>
        <v>13</v>
      </c>
      <c r="C7" s="122">
        <f>MONTH(A7)</f>
        <v>4</v>
      </c>
      <c r="D7" s="122">
        <f>YEAR(A7)</f>
        <v>2009</v>
      </c>
      <c r="E7" s="124">
        <v>477.35</v>
      </c>
      <c r="F7" s="134">
        <f>IF(C7=1,DATE(D7-1,12,1),DATE(D7,C7-1,1))</f>
        <v>39873</v>
      </c>
      <c r="G7" s="122">
        <f>IF(B7&lt;$C$1,IF(C7=1,12,C7-1),C7)</f>
        <v>3</v>
      </c>
      <c r="H7" s="122">
        <f>IF(B7&lt;$C$1,IF(C7=1,D7-1,D7),D7)</f>
        <v>2009</v>
      </c>
      <c r="I7" s="121">
        <f>DATE(H7,G7,$C$1)</f>
        <v>39887</v>
      </c>
      <c r="J7" s="118">
        <v>38652</v>
      </c>
      <c r="K7" s="120">
        <v>435.82</v>
      </c>
      <c r="L7" s="133">
        <f>(IF(MONTH(M7)=1,DATE(YEAR(M7)-1,12,1),DATE(YEAR(M7),MONTH(M7)-1,1)))</f>
        <v>38596</v>
      </c>
      <c r="M7" s="118">
        <f>DATE(IF(AND(DAY(J7)&lt;$C$1,MONTH(J7)=1),YEAR(J7)-1,YEAR(J7)),IF(DAY(J7)&lt;$C$1,IF(MONTH(J7)-1=0,12,MONTH(J7)-1),MONTH(J7)),$C$1)</f>
        <v>38640</v>
      </c>
      <c r="N7" s="117">
        <v>1300</v>
      </c>
      <c r="O7" s="117">
        <f>N7*E7/K7</f>
        <v>1423.8791244091597</v>
      </c>
      <c r="P7" s="116"/>
      <c r="Q7" s="116"/>
      <c r="R7" s="116"/>
      <c r="S7" s="115"/>
      <c r="T7" s="115"/>
      <c r="U7" s="114"/>
    </row>
    <row r="8" spans="1:21">
      <c r="A8" s="121">
        <v>39948</v>
      </c>
      <c r="B8" s="122">
        <f>DAY(A8)</f>
        <v>15</v>
      </c>
      <c r="C8" s="122">
        <f>MONTH(A8)</f>
        <v>5</v>
      </c>
      <c r="D8" s="122">
        <f>YEAR(A8)</f>
        <v>2009</v>
      </c>
      <c r="E8" s="124">
        <v>484.47</v>
      </c>
      <c r="F8" s="134">
        <f>IF(C8=1,DATE(D8-1,12,1),DATE(D8,C8-1,1))</f>
        <v>39904</v>
      </c>
      <c r="G8" s="122">
        <f>IF(B8&lt;$C$1,IF(C8=1,12,C8-1),C8)</f>
        <v>5</v>
      </c>
      <c r="H8" s="122">
        <f>IF(B8&lt;$C$1,IF(C8=1,D8-1,D8),D8)</f>
        <v>2009</v>
      </c>
      <c r="I8" s="121">
        <f>DATE(H8,G8,$C$1)</f>
        <v>39948</v>
      </c>
      <c r="J8" s="118">
        <v>38618</v>
      </c>
      <c r="K8" s="120">
        <v>434.95</v>
      </c>
      <c r="L8" s="133">
        <f>(IF(MONTH(M8)=1,DATE(YEAR(M8)-1,12,1),DATE(YEAR(M8),MONTH(M8)-1,1)))</f>
        <v>38565</v>
      </c>
      <c r="M8" s="118">
        <f>DATE(IF(AND(DAY(J8)&lt;$C$1,MONTH(J8)=1),YEAR(J8)-1,YEAR(J8)),IF(DAY(J8)&lt;$C$1,IF(MONTH(J8)-1=0,12,MONTH(J8)-1),MONTH(J8)),$C$1)</f>
        <v>38610</v>
      </c>
      <c r="N8" s="117">
        <v>1400</v>
      </c>
      <c r="O8" s="117">
        <f>N8*E8/K8</f>
        <v>1559.3930336820324</v>
      </c>
      <c r="P8" s="116"/>
      <c r="Q8" s="116"/>
      <c r="R8" s="116"/>
      <c r="S8" s="115"/>
      <c r="T8" s="115"/>
      <c r="U8" s="114"/>
    </row>
    <row r="9" spans="1:21">
      <c r="A9" s="121">
        <v>39984</v>
      </c>
      <c r="B9" s="122">
        <f>DAY(A9)</f>
        <v>20</v>
      </c>
      <c r="C9" s="122">
        <f>MONTH(A9)</f>
        <v>6</v>
      </c>
      <c r="D9" s="122">
        <f>YEAR(A9)</f>
        <v>2009</v>
      </c>
      <c r="E9" s="124">
        <v>486.37</v>
      </c>
      <c r="F9" s="134">
        <f>IF(C9=1,DATE(D9-1,12,1),DATE(D9,C9-1,1))</f>
        <v>39934</v>
      </c>
      <c r="G9" s="122">
        <f>IF(B9&lt;$C$1,IF(C9=1,12,C9-1),C9)</f>
        <v>6</v>
      </c>
      <c r="H9" s="122">
        <f>IF(B9&lt;$C$1,IF(C9=1,D9-1,D9),D9)</f>
        <v>2009</v>
      </c>
      <c r="I9" s="121">
        <f>DATE(H9,G9,$C$1)</f>
        <v>39979</v>
      </c>
      <c r="J9" s="118">
        <v>38584</v>
      </c>
      <c r="K9" s="120">
        <v>437.99</v>
      </c>
      <c r="L9" s="133">
        <f>(IF(MONTH(M9)=1,DATE(YEAR(M9)-1,12,1),DATE(YEAR(M9),MONTH(M9)-1,1)))</f>
        <v>38534</v>
      </c>
      <c r="M9" s="118">
        <f>DATE(IF(AND(DAY(J9)&lt;$C$1,MONTH(J9)=1),YEAR(J9)-1,YEAR(J9)),IF(DAY(J9)&lt;$C$1,IF(MONTH(J9)-1=0,12,MONTH(J9)-1),MONTH(J9)),$C$1)</f>
        <v>38579</v>
      </c>
      <c r="N9" s="117">
        <v>1500</v>
      </c>
      <c r="O9" s="117">
        <f>N9*E9/K9</f>
        <v>1665.688714354209</v>
      </c>
      <c r="P9" s="116"/>
      <c r="Q9" s="116"/>
      <c r="R9" s="116"/>
      <c r="S9" s="115"/>
      <c r="T9" s="115"/>
      <c r="U9" s="114"/>
    </row>
    <row r="10" spans="1:21">
      <c r="A10" s="121">
        <v>40018</v>
      </c>
      <c r="B10" s="122">
        <f>DAY(A10)</f>
        <v>24</v>
      </c>
      <c r="C10" s="122">
        <f>MONTH(A10)</f>
        <v>7</v>
      </c>
      <c r="D10" s="122">
        <f>YEAR(A10)</f>
        <v>2009</v>
      </c>
      <c r="E10" s="124">
        <v>490.64</v>
      </c>
      <c r="F10" s="134">
        <f>IF(C10=1,DATE(D10-1,12,1),DATE(D10,C10-1,1))</f>
        <v>39965</v>
      </c>
      <c r="G10" s="122">
        <f>IF(B10&lt;$C$1,IF(C10=1,12,C10-1),C10)</f>
        <v>7</v>
      </c>
      <c r="H10" s="122">
        <f>IF(B10&lt;$C$1,IF(C10=1,D10-1,D10),D10)</f>
        <v>2009</v>
      </c>
      <c r="I10" s="121">
        <f>DATE(H10,G10,$C$1)</f>
        <v>40009</v>
      </c>
      <c r="J10" s="118">
        <v>38550</v>
      </c>
      <c r="K10" s="120">
        <v>439.73</v>
      </c>
      <c r="L10" s="133">
        <f>(IF(MONTH(M10)=1,DATE(YEAR(M10)-1,12,1),DATE(YEAR(M10),MONTH(M10)-1,1)))</f>
        <v>38504</v>
      </c>
      <c r="M10" s="118">
        <f>DATE(IF(AND(DAY(J10)&lt;$C$1,MONTH(J10)=1),YEAR(J10)-1,YEAR(J10)),IF(DAY(J10)&lt;$C$1,IF(MONTH(J10)-1=0,12,MONTH(J10)-1),MONTH(J10)),$C$1)</f>
        <v>38548</v>
      </c>
      <c r="N10" s="117">
        <v>1600</v>
      </c>
      <c r="O10" s="117">
        <f>N10*E10/K10</f>
        <v>1785.2409433061196</v>
      </c>
      <c r="P10" s="116"/>
      <c r="Q10" s="116"/>
      <c r="R10" s="116"/>
      <c r="S10" s="115"/>
      <c r="T10" s="115"/>
      <c r="U10" s="114"/>
    </row>
    <row r="11" spans="1:21">
      <c r="A11" s="121">
        <v>40052</v>
      </c>
      <c r="B11" s="122">
        <f>DAY(A11)</f>
        <v>27</v>
      </c>
      <c r="C11" s="122">
        <f>MONTH(A11)</f>
        <v>8</v>
      </c>
      <c r="D11" s="122">
        <f>YEAR(A11)</f>
        <v>2009</v>
      </c>
      <c r="E11" s="124">
        <v>495.86</v>
      </c>
      <c r="F11" s="134">
        <f>IF(C11=1,DATE(D11-1,12,1),DATE(D11,C11-1,1))</f>
        <v>39995</v>
      </c>
      <c r="G11" s="122">
        <f>IF(B11&lt;$C$1,IF(C11=1,12,C11-1),C11)</f>
        <v>8</v>
      </c>
      <c r="H11" s="122">
        <f>IF(B11&lt;$C$1,IF(C11=1,D11-1,D11),D11)</f>
        <v>2009</v>
      </c>
      <c r="I11" s="121">
        <f>DATE(H11,G11,$C$1)</f>
        <v>40040</v>
      </c>
      <c r="J11" s="118">
        <v>38516</v>
      </c>
      <c r="K11" s="120">
        <v>444.52</v>
      </c>
      <c r="L11" s="133">
        <f>(IF(MONTH(M11)=1,DATE(YEAR(M11)-1,12,1),DATE(YEAR(M11),MONTH(M11)-1,1)))</f>
        <v>38443</v>
      </c>
      <c r="M11" s="118">
        <f>DATE(IF(AND(DAY(J11)&lt;$C$1,MONTH(J11)=1),YEAR(J11)-1,YEAR(J11)),IF(DAY(J11)&lt;$C$1,IF(MONTH(J11)-1=0,12,MONTH(J11)-1),MONTH(J11)),$C$1)</f>
        <v>38487</v>
      </c>
      <c r="N11" s="117">
        <v>1700</v>
      </c>
      <c r="O11" s="117">
        <f>N11*E11/K11</f>
        <v>1896.3421218392873</v>
      </c>
      <c r="P11" s="116"/>
      <c r="Q11" s="116"/>
      <c r="R11" s="116"/>
      <c r="S11" s="115"/>
      <c r="T11" s="115"/>
      <c r="U11" s="114"/>
    </row>
    <row r="12" spans="1:21">
      <c r="A12" s="121">
        <v>40086</v>
      </c>
      <c r="B12" s="122">
        <f>DAY(A12)</f>
        <v>30</v>
      </c>
      <c r="C12" s="122">
        <f>MONTH(A12)</f>
        <v>9</v>
      </c>
      <c r="D12" s="122">
        <f>YEAR(A12)</f>
        <v>2009</v>
      </c>
      <c r="E12" s="124">
        <v>498.23</v>
      </c>
      <c r="F12" s="134">
        <f>IF(C12=1,DATE(D12-1,12,1),DATE(D12,C12-1,1))</f>
        <v>40026</v>
      </c>
      <c r="G12" s="122">
        <f>IF(B12&lt;$C$1,IF(C12=1,12,C12-1),C12)</f>
        <v>9</v>
      </c>
      <c r="H12" s="122">
        <f>IF(B12&lt;$C$1,IF(C12=1,D12-1,D12),D12)</f>
        <v>2009</v>
      </c>
      <c r="I12" s="121">
        <f>DATE(H12,G12,$C$1)</f>
        <v>40071</v>
      </c>
      <c r="J12" s="118">
        <v>38482</v>
      </c>
      <c r="K12" s="120">
        <v>445.39</v>
      </c>
      <c r="L12" s="133">
        <f>(IF(MONTH(M12)=1,DATE(YEAR(M12)-1,12,1),DATE(YEAR(M12),MONTH(M12)-1,1)))</f>
        <v>38412</v>
      </c>
      <c r="M12" s="118">
        <f>DATE(IF(AND(DAY(J12)&lt;$C$1,MONTH(J12)=1),YEAR(J12)-1,YEAR(J12)),IF(DAY(J12)&lt;$C$1,IF(MONTH(J12)-1=0,12,MONTH(J12)-1),MONTH(J12)),$C$1)</f>
        <v>38457</v>
      </c>
      <c r="N12" s="117">
        <v>1800</v>
      </c>
      <c r="O12" s="117">
        <f>N12*E12/K12</f>
        <v>2013.5476773165092</v>
      </c>
      <c r="P12" s="116"/>
      <c r="Q12" s="116"/>
      <c r="R12" s="116"/>
      <c r="S12" s="115"/>
      <c r="T12" s="115"/>
      <c r="U12" s="114"/>
    </row>
    <row r="13" spans="1:21">
      <c r="A13" s="121">
        <v>40120</v>
      </c>
      <c r="B13" s="122">
        <f>DAY(A13)</f>
        <v>3</v>
      </c>
      <c r="C13" s="122">
        <f>MONTH(A13)</f>
        <v>11</v>
      </c>
      <c r="D13" s="122">
        <f>YEAR(A13)</f>
        <v>2009</v>
      </c>
      <c r="E13" s="124">
        <v>496.81</v>
      </c>
      <c r="F13" s="134">
        <f>IF(C13=1,DATE(D13-1,12,1),DATE(D13,C13-1,1))</f>
        <v>40087</v>
      </c>
      <c r="G13" s="122">
        <f>IF(B13&lt;$C$1,IF(C13=1,12,C13-1),C13)</f>
        <v>10</v>
      </c>
      <c r="H13" s="122">
        <f>IF(B13&lt;$C$1,IF(C13=1,D13-1,D13),D13)</f>
        <v>2009</v>
      </c>
      <c r="I13" s="121">
        <f>DATE(H13,G13,$C$1)</f>
        <v>40101</v>
      </c>
      <c r="J13" s="118">
        <v>38448</v>
      </c>
      <c r="K13" s="120">
        <v>445.82</v>
      </c>
      <c r="L13" s="133">
        <f>(IF(MONTH(M13)=1,DATE(YEAR(M13)-1,12,1),DATE(YEAR(M13),MONTH(M13)-1,1)))</f>
        <v>38384</v>
      </c>
      <c r="M13" s="118">
        <f>DATE(IF(AND(DAY(J13)&lt;$C$1,MONTH(J13)=1),YEAR(J13)-1,YEAR(J13)),IF(DAY(J13)&lt;$C$1,IF(MONTH(J13)-1=0,12,MONTH(J13)-1),MONTH(J13)),$C$1)</f>
        <v>38426</v>
      </c>
      <c r="N13" s="117">
        <v>1900</v>
      </c>
      <c r="O13" s="117">
        <f>N13*E13/K13</f>
        <v>2117.3096765510745</v>
      </c>
      <c r="P13" s="116"/>
      <c r="Q13" s="116"/>
      <c r="R13" s="116"/>
      <c r="S13" s="115"/>
      <c r="T13" s="115"/>
      <c r="U13" s="114"/>
    </row>
    <row r="14" spans="1:21">
      <c r="A14" s="121">
        <v>40154</v>
      </c>
      <c r="B14" s="122">
        <f>DAY(A14)</f>
        <v>7</v>
      </c>
      <c r="C14" s="122">
        <f>MONTH(A14)</f>
        <v>12</v>
      </c>
      <c r="D14" s="122">
        <f>YEAR(A14)</f>
        <v>2009</v>
      </c>
      <c r="E14" s="124">
        <v>497.75</v>
      </c>
      <c r="F14" s="134">
        <f>IF(C14=1,DATE(D14-1,12,1),DATE(D14,C14-1,1))</f>
        <v>40118</v>
      </c>
      <c r="G14" s="122">
        <f>IF(B14&lt;$C$1,IF(C14=1,12,C14-1),C14)</f>
        <v>11</v>
      </c>
      <c r="H14" s="122">
        <f>IF(B14&lt;$C$1,IF(C14=1,D14-1,D14),D14)</f>
        <v>2009</v>
      </c>
      <c r="I14" s="121">
        <f>DATE(H14,G14,$C$1)</f>
        <v>40132</v>
      </c>
      <c r="J14" s="118">
        <v>38414</v>
      </c>
      <c r="K14" s="120">
        <v>449.3</v>
      </c>
      <c r="L14" s="133">
        <f>(IF(MONTH(M14)=1,DATE(YEAR(M14)-1,12,1),DATE(YEAR(M14),MONTH(M14)-1,1)))</f>
        <v>38353</v>
      </c>
      <c r="M14" s="118">
        <f>DATE(IF(AND(DAY(J14)&lt;$C$1,MONTH(J14)=1),YEAR(J14)-1,YEAR(J14)),IF(DAY(J14)&lt;$C$1,IF(MONTH(J14)-1=0,12,MONTH(J14)-1),MONTH(J14)),$C$1)</f>
        <v>38398</v>
      </c>
      <c r="N14" s="117">
        <v>2000</v>
      </c>
      <c r="O14" s="117">
        <f>N14*E14/K14</f>
        <v>2215.6688181615846</v>
      </c>
      <c r="P14" s="116"/>
      <c r="Q14" s="116"/>
      <c r="R14" s="116"/>
      <c r="S14" s="115"/>
      <c r="T14" s="115"/>
      <c r="U14" s="114"/>
    </row>
    <row r="15" spans="1:21">
      <c r="A15" s="121">
        <v>40188</v>
      </c>
      <c r="B15" s="122">
        <f>DAY(A15)</f>
        <v>10</v>
      </c>
      <c r="C15" s="122">
        <f>MONTH(A15)</f>
        <v>1</v>
      </c>
      <c r="D15" s="122">
        <f>YEAR(A15)</f>
        <v>2010</v>
      </c>
      <c r="E15" s="124">
        <v>499.18</v>
      </c>
      <c r="F15" s="134">
        <f>IF(C15=1,DATE(D15-1,12,1),DATE(D15,C15-1,1))</f>
        <v>40148</v>
      </c>
      <c r="G15" s="122">
        <f>IF(B15&lt;$C$1,IF(C15=1,12,C15-1),C15)</f>
        <v>12</v>
      </c>
      <c r="H15" s="122">
        <f>IF(B15&lt;$C$1,IF(C15=1,D15-1,D15),D15)</f>
        <v>2009</v>
      </c>
      <c r="I15" s="121">
        <f>DATE(H15,G15,$C$1)</f>
        <v>40162</v>
      </c>
      <c r="J15" s="118">
        <v>38380</v>
      </c>
      <c r="K15" s="120">
        <v>448.87</v>
      </c>
      <c r="L15" s="133">
        <f>(IF(MONTH(M15)=1,DATE(YEAR(M15)-1,12,1),DATE(YEAR(M15),MONTH(M15)-1,1)))</f>
        <v>38322</v>
      </c>
      <c r="M15" s="118">
        <f>DATE(IF(AND(DAY(J15)&lt;$C$1,MONTH(J15)=1),YEAR(J15)-1,YEAR(J15)),IF(DAY(J15)&lt;$C$1,IF(MONTH(J15)-1=0,12,MONTH(J15)-1),MONTH(J15)),$C$1)</f>
        <v>38367</v>
      </c>
      <c r="N15" s="117">
        <v>2100</v>
      </c>
      <c r="O15" s="117">
        <f>N15*E15/K15</f>
        <v>2335.3710428409117</v>
      </c>
      <c r="P15" s="116"/>
      <c r="Q15" s="116"/>
      <c r="R15" s="116"/>
      <c r="S15" s="115"/>
      <c r="T15" s="115"/>
      <c r="U15" s="114"/>
    </row>
    <row r="16" spans="1:21">
      <c r="A16" s="121">
        <v>40222</v>
      </c>
      <c r="B16" s="122">
        <f>DAY(A16)</f>
        <v>13</v>
      </c>
      <c r="C16" s="122">
        <f>MONTH(A16)</f>
        <v>2</v>
      </c>
      <c r="D16" s="122">
        <f>YEAR(A16)</f>
        <v>2010</v>
      </c>
      <c r="E16" s="124">
        <v>499.18</v>
      </c>
      <c r="F16" s="134">
        <f>IF(C16=1,DATE(D16-1,12,1),DATE(D16,C16-1,1))</f>
        <v>40179</v>
      </c>
      <c r="G16" s="122">
        <f>IF(B16&lt;$C$1,IF(C16=1,12,C16-1),C16)</f>
        <v>1</v>
      </c>
      <c r="H16" s="122">
        <f>IF(B16&lt;$C$1,IF(C16=1,D16-1,D16),D16)</f>
        <v>2010</v>
      </c>
      <c r="I16" s="121">
        <f>DATE(H16,G16,$C$1)</f>
        <v>40193</v>
      </c>
      <c r="J16" s="118">
        <v>38346</v>
      </c>
      <c r="K16" s="120">
        <v>448</v>
      </c>
      <c r="L16" s="133">
        <f>(IF(MONTH(M16)=1,DATE(YEAR(M16)-1,12,1),DATE(YEAR(M16),MONTH(M16)-1,1)))</f>
        <v>38292</v>
      </c>
      <c r="M16" s="118">
        <f>DATE(IF(AND(DAY(J16)&lt;$C$1,MONTH(J16)=1),YEAR(J16)-1,YEAR(J16)),IF(DAY(J16)&lt;$C$1,IF(MONTH(J16)-1=0,12,MONTH(J16)-1),MONTH(J16)),$C$1)</f>
        <v>38336</v>
      </c>
      <c r="N16" s="117">
        <v>2200</v>
      </c>
      <c r="O16" s="117">
        <f>N16*E16/K16</f>
        <v>2451.3303571428573</v>
      </c>
      <c r="P16" s="116"/>
      <c r="Q16" s="116"/>
      <c r="R16" s="116"/>
      <c r="S16" s="115"/>
      <c r="T16" s="115"/>
      <c r="U16" s="114"/>
    </row>
  </sheetData>
  <mergeCells count="6">
    <mergeCell ref="S2:U2"/>
    <mergeCell ref="A1:B1"/>
    <mergeCell ref="A2:I2"/>
    <mergeCell ref="J2:M2"/>
    <mergeCell ref="P2:R2"/>
    <mergeCell ref="N2:O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rightToLeft="1" workbookViewId="0">
      <selection sqref="A1:B1"/>
    </sheetView>
  </sheetViews>
  <sheetFormatPr defaultRowHeight="12.75"/>
  <cols>
    <col min="1" max="1" width="10.140625" bestFit="1" customWidth="1"/>
    <col min="2" max="2" width="6.140625" bestFit="1" customWidth="1"/>
    <col min="3" max="3" width="5.5703125" customWidth="1"/>
    <col min="4" max="4" width="5" bestFit="1" customWidth="1"/>
    <col min="5" max="5" width="9.140625" style="113" bestFit="1" customWidth="1"/>
    <col min="6" max="6" width="7.5703125" bestFit="1" customWidth="1"/>
    <col min="7" max="8" width="6.5703125" bestFit="1" customWidth="1"/>
    <col min="9" max="9" width="10.140625" bestFit="1" customWidth="1"/>
    <col min="10" max="10" width="10.85546875" bestFit="1" customWidth="1"/>
    <col min="11" max="11" width="10.42578125" style="113" customWidth="1"/>
    <col min="12" max="12" width="7.5703125" bestFit="1" customWidth="1"/>
    <col min="13" max="13" width="10.140625" bestFit="1" customWidth="1"/>
    <col min="14" max="14" width="15.140625" style="112" bestFit="1" customWidth="1"/>
    <col min="15" max="15" width="12.5703125" style="112" bestFit="1" customWidth="1"/>
  </cols>
  <sheetData>
    <row r="1" spans="1:21">
      <c r="A1" s="132" t="s">
        <v>102</v>
      </c>
      <c r="B1" s="132"/>
      <c r="C1">
        <v>15</v>
      </c>
    </row>
    <row r="2" spans="1:21" s="128" customForma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30" t="s">
        <v>100</v>
      </c>
      <c r="K2" s="130"/>
      <c r="L2" s="130"/>
      <c r="M2" s="130"/>
      <c r="N2" s="131" t="s">
        <v>99</v>
      </c>
      <c r="O2" s="131"/>
      <c r="P2" s="130" t="s">
        <v>98</v>
      </c>
      <c r="Q2" s="130"/>
      <c r="R2" s="130"/>
      <c r="S2" s="129" t="s">
        <v>97</v>
      </c>
      <c r="T2" s="129"/>
      <c r="U2" s="129"/>
    </row>
    <row r="3" spans="1:21" s="125" customFormat="1" ht="38.25">
      <c r="A3" s="126" t="s">
        <v>96</v>
      </c>
      <c r="B3" s="126" t="s">
        <v>95</v>
      </c>
      <c r="C3" s="126" t="s">
        <v>94</v>
      </c>
      <c r="D3" s="126" t="s">
        <v>93</v>
      </c>
      <c r="E3" s="126" t="s">
        <v>92</v>
      </c>
      <c r="F3" s="126" t="s">
        <v>86</v>
      </c>
      <c r="G3" s="126" t="s">
        <v>91</v>
      </c>
      <c r="H3" s="126" t="s">
        <v>90</v>
      </c>
      <c r="I3" s="126" t="s">
        <v>89</v>
      </c>
      <c r="J3" s="127" t="s">
        <v>88</v>
      </c>
      <c r="K3" s="127" t="s">
        <v>87</v>
      </c>
      <c r="L3" s="127" t="s">
        <v>86</v>
      </c>
      <c r="M3" s="127" t="s">
        <v>85</v>
      </c>
      <c r="N3" s="126" t="s">
        <v>84</v>
      </c>
      <c r="O3" s="126" t="s">
        <v>83</v>
      </c>
      <c r="P3" s="127" t="s">
        <v>82</v>
      </c>
      <c r="Q3" s="127" t="s">
        <v>81</v>
      </c>
      <c r="R3" s="127" t="s">
        <v>80</v>
      </c>
      <c r="S3" s="126" t="s">
        <v>82</v>
      </c>
      <c r="T3" s="126" t="s">
        <v>81</v>
      </c>
      <c r="U3" s="126" t="s">
        <v>80</v>
      </c>
    </row>
    <row r="4" spans="1:21">
      <c r="A4" s="121">
        <v>39814</v>
      </c>
      <c r="B4" s="122">
        <f>DAY(A4)</f>
        <v>1</v>
      </c>
      <c r="C4" s="122">
        <f>MONTH(A4)</f>
        <v>1</v>
      </c>
      <c r="D4" s="122">
        <f>YEAR(A4)</f>
        <v>2009</v>
      </c>
      <c r="E4" s="124">
        <v>480.82</v>
      </c>
      <c r="F4" s="134">
        <f>IF(C4=1,DATE(D4-1,12,1),DATE(D4,C4-1,1))</f>
        <v>39783</v>
      </c>
      <c r="G4" s="122">
        <f>IF(B4&lt;$C$1,IF(C4=1,12,C4-1),C4)</f>
        <v>12</v>
      </c>
      <c r="H4" s="122">
        <f>IF(AND(B4&lt;$C$1,C4=1),D4-1,D4)</f>
        <v>2008</v>
      </c>
      <c r="I4" s="121">
        <f>DATE(H4,G4,$C$1)</f>
        <v>39797</v>
      </c>
      <c r="J4" s="118">
        <v>38754</v>
      </c>
      <c r="K4" s="120">
        <v>437.12</v>
      </c>
      <c r="L4" s="133">
        <f>(IF(MONTH(M4)=1,DATE(YEAR(M4)-1,12,1),DATE(YEAR(M4),MONTH(M4)-1,1)))</f>
        <v>38687</v>
      </c>
      <c r="M4" s="118">
        <f>DATE(IF(DAY(J4)&lt;$C$1,IF(MONTH(J4)-1=0,YEAR(J4)-1,YEAR(J4)),YEAR(J4)),IF(DAY(J4)&lt;$C$1,IF(MONTH(J4)-1=0,12,MONTH(J4)-1),MONTH(J4)),$C$1)</f>
        <v>38732</v>
      </c>
      <c r="N4" s="117">
        <v>1000</v>
      </c>
      <c r="O4" s="117">
        <f>N4*E4/K4</f>
        <v>1099.9725475841874</v>
      </c>
      <c r="P4" s="116">
        <f>DATEDIF(J4,A4,"y")</f>
        <v>2</v>
      </c>
      <c r="Q4" s="116">
        <f>DATEDIF(J4,A4,"m")</f>
        <v>34</v>
      </c>
      <c r="R4" s="116">
        <f>DATEDIF(J4,A4,"d")</f>
        <v>1060</v>
      </c>
      <c r="S4" s="115">
        <f>(A4-J4)/365</f>
        <v>2.904109589041096</v>
      </c>
      <c r="T4" s="115">
        <f>(A4-J4)/365*12</f>
        <v>34.849315068493155</v>
      </c>
      <c r="U4" s="114">
        <f>(A4-J4)</f>
        <v>1060</v>
      </c>
    </row>
    <row r="5" spans="1:21">
      <c r="A5" s="121">
        <v>39848</v>
      </c>
      <c r="B5" s="122">
        <f>DAY(A5)</f>
        <v>4</v>
      </c>
      <c r="C5" s="122">
        <f>MONTH(A5)</f>
        <v>2</v>
      </c>
      <c r="D5" s="122">
        <f>YEAR(A5)</f>
        <v>2009</v>
      </c>
      <c r="E5" s="124">
        <v>480.37</v>
      </c>
      <c r="F5" s="134">
        <f>IF(C5=1,DATE(D5-1,12,1),DATE(D5,C5-1,1))</f>
        <v>39814</v>
      </c>
      <c r="G5" s="122">
        <f>IF(B5&lt;$C$1,IF(C5=1,12,C5-1),C5)</f>
        <v>1</v>
      </c>
      <c r="H5" s="122">
        <f>IF(B5&lt;$C$1,IF(C5=1,D5-1,D5),D5)</f>
        <v>2009</v>
      </c>
      <c r="I5" s="121">
        <f>DATE(H5,G5,$C$1)</f>
        <v>39828</v>
      </c>
      <c r="J5" s="118">
        <v>38720</v>
      </c>
      <c r="K5" s="120">
        <v>437.56</v>
      </c>
      <c r="L5" s="133">
        <f>(IF(MONTH(M5)=1,DATE(YEAR(M5)-1,12,1),DATE(YEAR(M5),MONTH(M5)-1,1)))</f>
        <v>38657</v>
      </c>
      <c r="M5" s="118">
        <f>DATE(IF(AND(DAY(J5)&lt;$C$1,MONTH(J5)=1),YEAR(J5)-1,YEAR(J5)),IF(DAY(J5)&lt;$C$1,IF(MONTH(J5)-1=0,12,MONTH(J5)-1),MONTH(J5)),$C$1)</f>
        <v>38701</v>
      </c>
      <c r="N5" s="117">
        <v>1100</v>
      </c>
      <c r="O5" s="117">
        <f>N5*E5/K5</f>
        <v>1207.6218118658012</v>
      </c>
      <c r="P5" s="116">
        <f>DATEDIF(J5,A5,"y")</f>
        <v>3</v>
      </c>
      <c r="Q5" s="116">
        <f>DATEDIF(J5,A5,"m")</f>
        <v>37</v>
      </c>
      <c r="R5" s="116">
        <f>DATEDIF(J5,A5,"d")</f>
        <v>1128</v>
      </c>
      <c r="S5" s="115">
        <f>(A5-J5)/365</f>
        <v>3.0904109589041098</v>
      </c>
      <c r="T5" s="115">
        <f>(A5-J5)/365*12</f>
        <v>37.084931506849315</v>
      </c>
      <c r="U5" s="114">
        <f>(A5-J5)</f>
        <v>1128</v>
      </c>
    </row>
    <row r="6" spans="1:21">
      <c r="A6" s="121">
        <v>39882</v>
      </c>
      <c r="B6" s="122">
        <f>DAY(A6)</f>
        <v>10</v>
      </c>
      <c r="C6" s="122">
        <f>MONTH(A6)</f>
        <v>3</v>
      </c>
      <c r="D6" s="122">
        <f>YEAR(A6)</f>
        <v>2009</v>
      </c>
      <c r="E6" s="124">
        <v>477.82</v>
      </c>
      <c r="F6" s="134">
        <f>IF(C6=1,DATE(D6-1,12,1),DATE(D6,C6-1,1))</f>
        <v>39845</v>
      </c>
      <c r="G6" s="122">
        <f>IF(B6&lt;$C$1,IF(C6=1,12,C6-1),C6)</f>
        <v>2</v>
      </c>
      <c r="H6" s="122">
        <f>IF(B6&lt;$C$1,IF(C6=1,D6-1,D6),D6)</f>
        <v>2009</v>
      </c>
      <c r="I6" s="121">
        <f>DATE(H6,G6,$C$1)</f>
        <v>39859</v>
      </c>
      <c r="J6" s="118">
        <v>38686</v>
      </c>
      <c r="K6" s="120">
        <v>434.95</v>
      </c>
      <c r="L6" s="133">
        <f>(IF(MONTH(M6)=1,DATE(YEAR(M6)-1,12,1),DATE(YEAR(M6),MONTH(M6)-1,1)))</f>
        <v>38626</v>
      </c>
      <c r="M6" s="118">
        <f>DATE(IF(AND(DAY(J6)&lt;$C$1,MONTH(J6)=1),YEAR(J6)-1,YEAR(J6)),IF(DAY(J6)&lt;$C$1,IF(MONTH(J6)-1=0,12,MONTH(J6)-1),MONTH(J6)),$C$1)</f>
        <v>38671</v>
      </c>
      <c r="N6" s="117">
        <v>1200</v>
      </c>
      <c r="O6" s="117">
        <f>N6*E6/K6</f>
        <v>1318.2756638694102</v>
      </c>
      <c r="P6" s="116">
        <f>DATEDIF(J6,A6,"y")</f>
        <v>3</v>
      </c>
      <c r="Q6" s="116">
        <f>DATEDIF(J6,A6,"m")</f>
        <v>39</v>
      </c>
      <c r="R6" s="116">
        <f>DATEDIF(J6,A6,"d")</f>
        <v>1196</v>
      </c>
      <c r="S6" s="115">
        <f>(A6-J6)/365</f>
        <v>3.2767123287671232</v>
      </c>
      <c r="T6" s="115">
        <f>(A6-J6)/365*12</f>
        <v>39.320547945205476</v>
      </c>
      <c r="U6" s="114">
        <f>(A6-J6)</f>
        <v>1196</v>
      </c>
    </row>
    <row r="7" spans="1:21">
      <c r="A7" s="121">
        <v>39916</v>
      </c>
      <c r="B7" s="122">
        <f>DAY(A7)</f>
        <v>13</v>
      </c>
      <c r="C7" s="122">
        <f>MONTH(A7)</f>
        <v>4</v>
      </c>
      <c r="D7" s="122">
        <f>YEAR(A7)</f>
        <v>2009</v>
      </c>
      <c r="E7" s="124">
        <v>477.35</v>
      </c>
      <c r="F7" s="134">
        <f>IF(C7=1,DATE(D7-1,12,1),DATE(D7,C7-1,1))</f>
        <v>39873</v>
      </c>
      <c r="G7" s="122">
        <f>IF(B7&lt;$C$1,IF(C7=1,12,C7-1),C7)</f>
        <v>3</v>
      </c>
      <c r="H7" s="122">
        <f>IF(B7&lt;$C$1,IF(C7=1,D7-1,D7),D7)</f>
        <v>2009</v>
      </c>
      <c r="I7" s="121">
        <f>DATE(H7,G7,$C$1)</f>
        <v>39887</v>
      </c>
      <c r="J7" s="118">
        <v>38652</v>
      </c>
      <c r="K7" s="120">
        <v>435.82</v>
      </c>
      <c r="L7" s="133">
        <f>(IF(MONTH(M7)=1,DATE(YEAR(M7)-1,12,1),DATE(YEAR(M7),MONTH(M7)-1,1)))</f>
        <v>38596</v>
      </c>
      <c r="M7" s="118">
        <f>DATE(IF(AND(DAY(J7)&lt;$C$1,MONTH(J7)=1),YEAR(J7)-1,YEAR(J7)),IF(DAY(J7)&lt;$C$1,IF(MONTH(J7)-1=0,12,MONTH(J7)-1),MONTH(J7)),$C$1)</f>
        <v>38640</v>
      </c>
      <c r="N7" s="117">
        <v>1300</v>
      </c>
      <c r="O7" s="117">
        <f>N7*E7/K7</f>
        <v>1423.8791244091597</v>
      </c>
      <c r="P7" s="116">
        <f>DATEDIF(J7,A7,"y")</f>
        <v>3</v>
      </c>
      <c r="Q7" s="116">
        <f>DATEDIF(J7,A7,"m")</f>
        <v>41</v>
      </c>
      <c r="R7" s="116">
        <f>DATEDIF(J7,A7,"d")</f>
        <v>1264</v>
      </c>
      <c r="S7" s="115">
        <f>(A7-J7)/365</f>
        <v>3.463013698630137</v>
      </c>
      <c r="T7" s="115">
        <f>(A7-J7)/365*12</f>
        <v>41.556164383561644</v>
      </c>
      <c r="U7" s="114">
        <f>(A7-J7)</f>
        <v>1264</v>
      </c>
    </row>
    <row r="8" spans="1:21">
      <c r="A8" s="121">
        <v>39948</v>
      </c>
      <c r="B8" s="122">
        <f>DAY(A8)</f>
        <v>15</v>
      </c>
      <c r="C8" s="122">
        <f>MONTH(A8)</f>
        <v>5</v>
      </c>
      <c r="D8" s="122">
        <f>YEAR(A8)</f>
        <v>2009</v>
      </c>
      <c r="E8" s="124">
        <v>484.47</v>
      </c>
      <c r="F8" s="134">
        <f>IF(C8=1,DATE(D8-1,12,1),DATE(D8,C8-1,1))</f>
        <v>39904</v>
      </c>
      <c r="G8" s="122">
        <f>IF(B8&lt;$C$1,IF(C8=1,12,C8-1),C8)</f>
        <v>5</v>
      </c>
      <c r="H8" s="122">
        <f>IF(B8&lt;$C$1,IF(C8=1,D8-1,D8),D8)</f>
        <v>2009</v>
      </c>
      <c r="I8" s="121">
        <f>DATE(H8,G8,$C$1)</f>
        <v>39948</v>
      </c>
      <c r="J8" s="118">
        <v>38618</v>
      </c>
      <c r="K8" s="120">
        <v>434.95</v>
      </c>
      <c r="L8" s="133">
        <f>(IF(MONTH(M8)=1,DATE(YEAR(M8)-1,12,1),DATE(YEAR(M8),MONTH(M8)-1,1)))</f>
        <v>38565</v>
      </c>
      <c r="M8" s="118">
        <f>DATE(IF(AND(DAY(J8)&lt;$C$1,MONTH(J8)=1),YEAR(J8)-1,YEAR(J8)),IF(DAY(J8)&lt;$C$1,IF(MONTH(J8)-1=0,12,MONTH(J8)-1),MONTH(J8)),$C$1)</f>
        <v>38610</v>
      </c>
      <c r="N8" s="117">
        <v>1400</v>
      </c>
      <c r="O8" s="117">
        <f>N8*E8/K8</f>
        <v>1559.3930336820324</v>
      </c>
      <c r="P8" s="116">
        <f>DATEDIF(J8,A8,"y")</f>
        <v>3</v>
      </c>
      <c r="Q8" s="116">
        <f>DATEDIF(J8,A8,"m")</f>
        <v>43</v>
      </c>
      <c r="R8" s="116">
        <f>DATEDIF(J8,A8,"d")</f>
        <v>1330</v>
      </c>
      <c r="S8" s="115">
        <f>(A8-J8)/365</f>
        <v>3.6438356164383561</v>
      </c>
      <c r="T8" s="115">
        <f>(A8-J8)/365*12</f>
        <v>43.726027397260275</v>
      </c>
      <c r="U8" s="114">
        <f>(A8-J8)</f>
        <v>1330</v>
      </c>
    </row>
    <row r="9" spans="1:21">
      <c r="A9" s="121">
        <v>39984</v>
      </c>
      <c r="B9" s="122">
        <f>DAY(A9)</f>
        <v>20</v>
      </c>
      <c r="C9" s="122">
        <f>MONTH(A9)</f>
        <v>6</v>
      </c>
      <c r="D9" s="122">
        <f>YEAR(A9)</f>
        <v>2009</v>
      </c>
      <c r="E9" s="124">
        <v>486.37</v>
      </c>
      <c r="F9" s="134">
        <f>IF(C9=1,DATE(D9-1,12,1),DATE(D9,C9-1,1))</f>
        <v>39934</v>
      </c>
      <c r="G9" s="122">
        <f>IF(B9&lt;$C$1,IF(C9=1,12,C9-1),C9)</f>
        <v>6</v>
      </c>
      <c r="H9" s="122">
        <f>IF(B9&lt;$C$1,IF(C9=1,D9-1,D9),D9)</f>
        <v>2009</v>
      </c>
      <c r="I9" s="121">
        <f>DATE(H9,G9,$C$1)</f>
        <v>39979</v>
      </c>
      <c r="J9" s="118">
        <v>38584</v>
      </c>
      <c r="K9" s="120">
        <v>437.99</v>
      </c>
      <c r="L9" s="133">
        <f>(IF(MONTH(M9)=1,DATE(YEAR(M9)-1,12,1),DATE(YEAR(M9),MONTH(M9)-1,1)))</f>
        <v>38534</v>
      </c>
      <c r="M9" s="118">
        <f>DATE(IF(AND(DAY(J9)&lt;$C$1,MONTH(J9)=1),YEAR(J9)-1,YEAR(J9)),IF(DAY(J9)&lt;$C$1,IF(MONTH(J9)-1=0,12,MONTH(J9)-1),MONTH(J9)),$C$1)</f>
        <v>38579</v>
      </c>
      <c r="N9" s="117">
        <v>1500</v>
      </c>
      <c r="O9" s="117">
        <f>N9*E9/K9</f>
        <v>1665.688714354209</v>
      </c>
      <c r="P9" s="116">
        <f>DATEDIF(J9,A9,"y")</f>
        <v>3</v>
      </c>
      <c r="Q9" s="116">
        <f>DATEDIF(J9,A9,"m")</f>
        <v>46</v>
      </c>
      <c r="R9" s="116">
        <f>DATEDIF(J9,A9,"d")</f>
        <v>1400</v>
      </c>
      <c r="S9" s="115">
        <f>(A9-J9)/365</f>
        <v>3.8356164383561642</v>
      </c>
      <c r="T9" s="115">
        <f>(A9-J9)/365*12</f>
        <v>46.027397260273972</v>
      </c>
      <c r="U9" s="114">
        <f>(A9-J9)</f>
        <v>1400</v>
      </c>
    </row>
    <row r="10" spans="1:21">
      <c r="A10" s="121">
        <v>40018</v>
      </c>
      <c r="B10" s="122">
        <f>DAY(A10)</f>
        <v>24</v>
      </c>
      <c r="C10" s="122">
        <f>MONTH(A10)</f>
        <v>7</v>
      </c>
      <c r="D10" s="122">
        <f>YEAR(A10)</f>
        <v>2009</v>
      </c>
      <c r="E10" s="124">
        <v>490.64</v>
      </c>
      <c r="F10" s="134">
        <f>IF(C10=1,DATE(D10-1,12,1),DATE(D10,C10-1,1))</f>
        <v>39965</v>
      </c>
      <c r="G10" s="122">
        <f>IF(B10&lt;$C$1,IF(C10=1,12,C10-1),C10)</f>
        <v>7</v>
      </c>
      <c r="H10" s="122">
        <f>IF(B10&lt;$C$1,IF(C10=1,D10-1,D10),D10)</f>
        <v>2009</v>
      </c>
      <c r="I10" s="121">
        <f>DATE(H10,G10,$C$1)</f>
        <v>40009</v>
      </c>
      <c r="J10" s="118">
        <v>38550</v>
      </c>
      <c r="K10" s="120">
        <v>439.73</v>
      </c>
      <c r="L10" s="133">
        <f>(IF(MONTH(M10)=1,DATE(YEAR(M10)-1,12,1),DATE(YEAR(M10),MONTH(M10)-1,1)))</f>
        <v>38504</v>
      </c>
      <c r="M10" s="118">
        <f>DATE(IF(AND(DAY(J10)&lt;$C$1,MONTH(J10)=1),YEAR(J10)-1,YEAR(J10)),IF(DAY(J10)&lt;$C$1,IF(MONTH(J10)-1=0,12,MONTH(J10)-1),MONTH(J10)),$C$1)</f>
        <v>38548</v>
      </c>
      <c r="N10" s="117">
        <v>1600</v>
      </c>
      <c r="O10" s="117">
        <f>N10*E10/K10</f>
        <v>1785.2409433061196</v>
      </c>
      <c r="P10" s="116">
        <f>DATEDIF(J10,A10,"y")</f>
        <v>4</v>
      </c>
      <c r="Q10" s="116">
        <f>DATEDIF(J10,A10,"m")</f>
        <v>48</v>
      </c>
      <c r="R10" s="116">
        <f>DATEDIF(J10,A10,"d")</f>
        <v>1468</v>
      </c>
      <c r="S10" s="115">
        <f>(A10-J10)/365</f>
        <v>4.021917808219178</v>
      </c>
      <c r="T10" s="115">
        <f>(A10-J10)/365*12</f>
        <v>48.263013698630132</v>
      </c>
      <c r="U10" s="114">
        <f>(A10-J10)</f>
        <v>1468</v>
      </c>
    </row>
    <row r="11" spans="1:21">
      <c r="A11" s="121">
        <v>40052</v>
      </c>
      <c r="B11" s="122">
        <f>DAY(A11)</f>
        <v>27</v>
      </c>
      <c r="C11" s="122">
        <f>MONTH(A11)</f>
        <v>8</v>
      </c>
      <c r="D11" s="122">
        <f>YEAR(A11)</f>
        <v>2009</v>
      </c>
      <c r="E11" s="124">
        <v>495.86</v>
      </c>
      <c r="F11" s="134">
        <f>IF(C11=1,DATE(D11-1,12,1),DATE(D11,C11-1,1))</f>
        <v>39995</v>
      </c>
      <c r="G11" s="122">
        <f>IF(B11&lt;$C$1,IF(C11=1,12,C11-1),C11)</f>
        <v>8</v>
      </c>
      <c r="H11" s="122">
        <f>IF(B11&lt;$C$1,IF(C11=1,D11-1,D11),D11)</f>
        <v>2009</v>
      </c>
      <c r="I11" s="121">
        <f>DATE(H11,G11,$C$1)</f>
        <v>40040</v>
      </c>
      <c r="J11" s="118">
        <v>38516</v>
      </c>
      <c r="K11" s="120">
        <v>444.52</v>
      </c>
      <c r="L11" s="133">
        <f>(IF(MONTH(M11)=1,DATE(YEAR(M11)-1,12,1),DATE(YEAR(M11),MONTH(M11)-1,1)))</f>
        <v>38443</v>
      </c>
      <c r="M11" s="118">
        <f>DATE(IF(AND(DAY(J11)&lt;$C$1,MONTH(J11)=1),YEAR(J11)-1,YEAR(J11)),IF(DAY(J11)&lt;$C$1,IF(MONTH(J11)-1=0,12,MONTH(J11)-1),MONTH(J11)),$C$1)</f>
        <v>38487</v>
      </c>
      <c r="N11" s="117">
        <v>1700</v>
      </c>
      <c r="O11" s="117">
        <f>N11*E11/K11</f>
        <v>1896.3421218392873</v>
      </c>
      <c r="P11" s="116">
        <f>DATEDIF(J11,A11,"y")</f>
        <v>4</v>
      </c>
      <c r="Q11" s="116">
        <f>DATEDIF(J11,A11,"m")</f>
        <v>50</v>
      </c>
      <c r="R11" s="116">
        <f>DATEDIF(J11,A11,"d")</f>
        <v>1536</v>
      </c>
      <c r="S11" s="115">
        <f>(A11-J11)/365</f>
        <v>4.2082191780821914</v>
      </c>
      <c r="T11" s="115">
        <f>(A11-J11)/365*12</f>
        <v>50.498630136986293</v>
      </c>
      <c r="U11" s="114">
        <f>(A11-J11)</f>
        <v>1536</v>
      </c>
    </row>
    <row r="12" spans="1:21">
      <c r="A12" s="121">
        <v>40086</v>
      </c>
      <c r="B12" s="122">
        <f>DAY(A12)</f>
        <v>30</v>
      </c>
      <c r="C12" s="122">
        <f>MONTH(A12)</f>
        <v>9</v>
      </c>
      <c r="D12" s="122">
        <f>YEAR(A12)</f>
        <v>2009</v>
      </c>
      <c r="E12" s="124">
        <v>498.23</v>
      </c>
      <c r="F12" s="134">
        <f>IF(C12=1,DATE(D12-1,12,1),DATE(D12,C12-1,1))</f>
        <v>40026</v>
      </c>
      <c r="G12" s="122">
        <f>IF(B12&lt;$C$1,IF(C12=1,12,C12-1),C12)</f>
        <v>9</v>
      </c>
      <c r="H12" s="122">
        <f>IF(B12&lt;$C$1,IF(C12=1,D12-1,D12),D12)</f>
        <v>2009</v>
      </c>
      <c r="I12" s="121">
        <f>DATE(H12,G12,$C$1)</f>
        <v>40071</v>
      </c>
      <c r="J12" s="118">
        <v>38482</v>
      </c>
      <c r="K12" s="120">
        <v>445.39</v>
      </c>
      <c r="L12" s="133">
        <f>(IF(MONTH(M12)=1,DATE(YEAR(M12)-1,12,1),DATE(YEAR(M12),MONTH(M12)-1,1)))</f>
        <v>38412</v>
      </c>
      <c r="M12" s="118">
        <f>DATE(IF(AND(DAY(J12)&lt;$C$1,MONTH(J12)=1),YEAR(J12)-1,YEAR(J12)),IF(DAY(J12)&lt;$C$1,IF(MONTH(J12)-1=0,12,MONTH(J12)-1),MONTH(J12)),$C$1)</f>
        <v>38457</v>
      </c>
      <c r="N12" s="117">
        <v>1800</v>
      </c>
      <c r="O12" s="117">
        <f>N12*E12/K12</f>
        <v>2013.5476773165092</v>
      </c>
      <c r="P12" s="116">
        <f>DATEDIF(J12,A12,"y")</f>
        <v>4</v>
      </c>
      <c r="Q12" s="116">
        <f>DATEDIF(J12,A12,"m")</f>
        <v>52</v>
      </c>
      <c r="R12" s="116">
        <f>DATEDIF(J12,A12,"d")</f>
        <v>1604</v>
      </c>
      <c r="S12" s="115">
        <f>(A12-J12)/365</f>
        <v>4.3945205479452056</v>
      </c>
      <c r="T12" s="115">
        <f>(A12-J12)/365*12</f>
        <v>52.734246575342468</v>
      </c>
      <c r="U12" s="114">
        <f>(A12-J12)</f>
        <v>1604</v>
      </c>
    </row>
    <row r="13" spans="1:21">
      <c r="A13" s="121">
        <v>40120</v>
      </c>
      <c r="B13" s="122">
        <f>DAY(A13)</f>
        <v>3</v>
      </c>
      <c r="C13" s="122">
        <f>MONTH(A13)</f>
        <v>11</v>
      </c>
      <c r="D13" s="122">
        <f>YEAR(A13)</f>
        <v>2009</v>
      </c>
      <c r="E13" s="124">
        <v>496.81</v>
      </c>
      <c r="F13" s="134">
        <f>IF(C13=1,DATE(D13-1,12,1),DATE(D13,C13-1,1))</f>
        <v>40087</v>
      </c>
      <c r="G13" s="122">
        <f>IF(B13&lt;$C$1,IF(C13=1,12,C13-1),C13)</f>
        <v>10</v>
      </c>
      <c r="H13" s="122">
        <f>IF(B13&lt;$C$1,IF(C13=1,D13-1,D13),D13)</f>
        <v>2009</v>
      </c>
      <c r="I13" s="121">
        <f>DATE(H13,G13,$C$1)</f>
        <v>40101</v>
      </c>
      <c r="J13" s="118">
        <v>38448</v>
      </c>
      <c r="K13" s="120">
        <v>445.82</v>
      </c>
      <c r="L13" s="133">
        <f>(IF(MONTH(M13)=1,DATE(YEAR(M13)-1,12,1),DATE(YEAR(M13),MONTH(M13)-1,1)))</f>
        <v>38384</v>
      </c>
      <c r="M13" s="118">
        <f>DATE(IF(AND(DAY(J13)&lt;$C$1,MONTH(J13)=1),YEAR(J13)-1,YEAR(J13)),IF(DAY(J13)&lt;$C$1,IF(MONTH(J13)-1=0,12,MONTH(J13)-1),MONTH(J13)),$C$1)</f>
        <v>38426</v>
      </c>
      <c r="N13" s="117">
        <v>1900</v>
      </c>
      <c r="O13" s="117">
        <f>N13*E13/K13</f>
        <v>2117.3096765510745</v>
      </c>
      <c r="P13" s="116">
        <f>DATEDIF(J13,A13,"y")</f>
        <v>4</v>
      </c>
      <c r="Q13" s="116">
        <f>DATEDIF(J13,A13,"m")</f>
        <v>54</v>
      </c>
      <c r="R13" s="116">
        <f>DATEDIF(J13,A13,"d")</f>
        <v>1672</v>
      </c>
      <c r="S13" s="115">
        <f>(A13-J13)/365</f>
        <v>4.580821917808219</v>
      </c>
      <c r="T13" s="115">
        <f>(A13-J13)/365*12</f>
        <v>54.969863013698628</v>
      </c>
      <c r="U13" s="114">
        <f>(A13-J13)</f>
        <v>1672</v>
      </c>
    </row>
    <row r="14" spans="1:21">
      <c r="A14" s="121">
        <v>40154</v>
      </c>
      <c r="B14" s="122">
        <f>DAY(A14)</f>
        <v>7</v>
      </c>
      <c r="C14" s="122">
        <f>MONTH(A14)</f>
        <v>12</v>
      </c>
      <c r="D14" s="122">
        <f>YEAR(A14)</f>
        <v>2009</v>
      </c>
      <c r="E14" s="124">
        <v>497.75</v>
      </c>
      <c r="F14" s="134">
        <f>IF(C14=1,DATE(D14-1,12,1),DATE(D14,C14-1,1))</f>
        <v>40118</v>
      </c>
      <c r="G14" s="122">
        <f>IF(B14&lt;$C$1,IF(C14=1,12,C14-1),C14)</f>
        <v>11</v>
      </c>
      <c r="H14" s="122">
        <f>IF(B14&lt;$C$1,IF(C14=1,D14-1,D14),D14)</f>
        <v>2009</v>
      </c>
      <c r="I14" s="121">
        <f>DATE(H14,G14,$C$1)</f>
        <v>40132</v>
      </c>
      <c r="J14" s="118">
        <v>38414</v>
      </c>
      <c r="K14" s="120">
        <v>449.3</v>
      </c>
      <c r="L14" s="133">
        <f>(IF(MONTH(M14)=1,DATE(YEAR(M14)-1,12,1),DATE(YEAR(M14),MONTH(M14)-1,1)))</f>
        <v>38353</v>
      </c>
      <c r="M14" s="118">
        <f>DATE(IF(AND(DAY(J14)&lt;$C$1,MONTH(J14)=1),YEAR(J14)-1,YEAR(J14)),IF(DAY(J14)&lt;$C$1,IF(MONTH(J14)-1=0,12,MONTH(J14)-1),MONTH(J14)),$C$1)</f>
        <v>38398</v>
      </c>
      <c r="N14" s="117">
        <v>2000</v>
      </c>
      <c r="O14" s="117">
        <f>N14*E14/K14</f>
        <v>2215.6688181615846</v>
      </c>
      <c r="P14" s="116">
        <f>DATEDIF(J14,A14,"y")</f>
        <v>4</v>
      </c>
      <c r="Q14" s="116">
        <f>DATEDIF(J14,A14,"m")</f>
        <v>57</v>
      </c>
      <c r="R14" s="116">
        <f>DATEDIF(J14,A14,"d")</f>
        <v>1740</v>
      </c>
      <c r="S14" s="115">
        <f>(A14-J14)/365</f>
        <v>4.7671232876712333</v>
      </c>
      <c r="T14" s="115">
        <f>(A14-J14)/365*12</f>
        <v>57.205479452054803</v>
      </c>
      <c r="U14" s="114">
        <f>(A14-J14)</f>
        <v>1740</v>
      </c>
    </row>
    <row r="15" spans="1:21">
      <c r="A15" s="121">
        <v>40188</v>
      </c>
      <c r="B15" s="122">
        <f>DAY(A15)</f>
        <v>10</v>
      </c>
      <c r="C15" s="122">
        <f>MONTH(A15)</f>
        <v>1</v>
      </c>
      <c r="D15" s="122">
        <f>YEAR(A15)</f>
        <v>2010</v>
      </c>
      <c r="E15" s="124">
        <v>499.18</v>
      </c>
      <c r="F15" s="134">
        <f>IF(C15=1,DATE(D15-1,12,1),DATE(D15,C15-1,1))</f>
        <v>40148</v>
      </c>
      <c r="G15" s="122">
        <f>IF(B15&lt;$C$1,IF(C15=1,12,C15-1),C15)</f>
        <v>12</v>
      </c>
      <c r="H15" s="122">
        <f>IF(B15&lt;$C$1,IF(C15=1,D15-1,D15),D15)</f>
        <v>2009</v>
      </c>
      <c r="I15" s="121">
        <f>DATE(H15,G15,$C$1)</f>
        <v>40162</v>
      </c>
      <c r="J15" s="118">
        <v>38380</v>
      </c>
      <c r="K15" s="120">
        <v>448.87</v>
      </c>
      <c r="L15" s="133">
        <f>(IF(MONTH(M15)=1,DATE(YEAR(M15)-1,12,1),DATE(YEAR(M15),MONTH(M15)-1,1)))</f>
        <v>38322</v>
      </c>
      <c r="M15" s="118">
        <f>DATE(IF(AND(DAY(J15)&lt;$C$1,MONTH(J15)=1),YEAR(J15)-1,YEAR(J15)),IF(DAY(J15)&lt;$C$1,IF(MONTH(J15)-1=0,12,MONTH(J15)-1),MONTH(J15)),$C$1)</f>
        <v>38367</v>
      </c>
      <c r="N15" s="117">
        <v>2100</v>
      </c>
      <c r="O15" s="117">
        <f>N15*E15/K15</f>
        <v>2335.3710428409117</v>
      </c>
      <c r="P15" s="116">
        <f>DATEDIF(J15,A15,"y")</f>
        <v>4</v>
      </c>
      <c r="Q15" s="116">
        <f>DATEDIF(J15,A15,"m")</f>
        <v>59</v>
      </c>
      <c r="R15" s="116">
        <f>DATEDIF(J15,A15,"d")</f>
        <v>1808</v>
      </c>
      <c r="S15" s="115">
        <f>(A15-J15)/365</f>
        <v>4.9534246575342467</v>
      </c>
      <c r="T15" s="115">
        <f>(A15-J15)/365*12</f>
        <v>59.441095890410963</v>
      </c>
      <c r="U15" s="114">
        <f>(A15-J15)</f>
        <v>1808</v>
      </c>
    </row>
    <row r="16" spans="1:21">
      <c r="A16" s="121">
        <v>40222</v>
      </c>
      <c r="B16" s="122">
        <f>DAY(A16)</f>
        <v>13</v>
      </c>
      <c r="C16" s="122">
        <f>MONTH(A16)</f>
        <v>2</v>
      </c>
      <c r="D16" s="122">
        <f>YEAR(A16)</f>
        <v>2010</v>
      </c>
      <c r="E16" s="124">
        <v>499.18</v>
      </c>
      <c r="F16" s="134">
        <f>IF(C16=1,DATE(D16-1,12,1),DATE(D16,C16-1,1))</f>
        <v>40179</v>
      </c>
      <c r="G16" s="122">
        <f>IF(B16&lt;$C$1,IF(C16=1,12,C16-1),C16)</f>
        <v>1</v>
      </c>
      <c r="H16" s="122">
        <f>IF(B16&lt;$C$1,IF(C16=1,D16-1,D16),D16)</f>
        <v>2010</v>
      </c>
      <c r="I16" s="121">
        <f>DATE(H16,G16,$C$1)</f>
        <v>40193</v>
      </c>
      <c r="J16" s="118">
        <v>38346</v>
      </c>
      <c r="K16" s="120">
        <v>448</v>
      </c>
      <c r="L16" s="133">
        <f>(IF(MONTH(M16)=1,DATE(YEAR(M16)-1,12,1),DATE(YEAR(M16),MONTH(M16)-1,1)))</f>
        <v>38292</v>
      </c>
      <c r="M16" s="118">
        <f>DATE(IF(AND(DAY(J16)&lt;$C$1,MONTH(J16)=1),YEAR(J16)-1,YEAR(J16)),IF(DAY(J16)&lt;$C$1,IF(MONTH(J16)-1=0,12,MONTH(J16)-1),MONTH(J16)),$C$1)</f>
        <v>38336</v>
      </c>
      <c r="N16" s="117">
        <v>2200</v>
      </c>
      <c r="O16" s="117">
        <f>N16*E16/K16</f>
        <v>2451.3303571428573</v>
      </c>
      <c r="P16" s="116">
        <f>DATEDIF(J16,A16,"y")</f>
        <v>5</v>
      </c>
      <c r="Q16" s="116">
        <f>DATEDIF(J16,A16,"m")</f>
        <v>61</v>
      </c>
      <c r="R16" s="116">
        <f>DATEDIF(J16,A16,"d")</f>
        <v>1876</v>
      </c>
      <c r="S16" s="115">
        <f>(A16-J16)/365</f>
        <v>5.13972602739726</v>
      </c>
      <c r="T16" s="115">
        <f>(A16-J16)/365*12</f>
        <v>61.676712328767124</v>
      </c>
      <c r="U16" s="114">
        <f>(A16-J16)</f>
        <v>1876</v>
      </c>
    </row>
  </sheetData>
  <mergeCells count="6">
    <mergeCell ref="S2:U2"/>
    <mergeCell ref="A1:B1"/>
    <mergeCell ref="A2:I2"/>
    <mergeCell ref="J2:M2"/>
    <mergeCell ref="N2:O2"/>
    <mergeCell ref="P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0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ht="13.5" thickBot="1"/>
    <row r="3" spans="1:20" s="4" customFormat="1" ht="27" thickTop="1" thickBot="1">
      <c r="A3" s="86" t="s">
        <v>46</v>
      </c>
      <c r="B3" s="27" t="s">
        <v>41</v>
      </c>
      <c r="C3" s="26" t="s">
        <v>1</v>
      </c>
      <c r="D3" s="26" t="s">
        <v>8</v>
      </c>
      <c r="E3" s="26" t="s">
        <v>51</v>
      </c>
      <c r="F3" s="26" t="s">
        <v>50</v>
      </c>
      <c r="G3" s="26" t="s">
        <v>54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39</v>
      </c>
      <c r="Q3" s="39" t="s">
        <v>40</v>
      </c>
      <c r="R3" s="61" t="s">
        <v>59</v>
      </c>
      <c r="S3" s="61" t="s">
        <v>65</v>
      </c>
      <c r="T3" s="60" t="s">
        <v>64</v>
      </c>
    </row>
    <row r="4" spans="1:20">
      <c r="A4" s="87"/>
      <c r="B4" s="28">
        <v>123456789</v>
      </c>
      <c r="C4" s="8" t="s">
        <v>2</v>
      </c>
      <c r="D4" s="8" t="s">
        <v>17</v>
      </c>
      <c r="E4" s="9">
        <v>9877665</v>
      </c>
      <c r="F4" s="12">
        <v>123</v>
      </c>
      <c r="G4" s="36" t="s">
        <v>55</v>
      </c>
      <c r="H4" s="8">
        <v>89</v>
      </c>
      <c r="I4" s="8">
        <v>86</v>
      </c>
      <c r="J4" s="8">
        <v>99</v>
      </c>
      <c r="K4" s="15">
        <f>AVERAGE(H4:J4)</f>
        <v>91.333333333333329</v>
      </c>
      <c r="L4" s="8">
        <v>99</v>
      </c>
      <c r="M4" s="8">
        <v>80</v>
      </c>
      <c r="N4" s="18">
        <f>H4*$C$32+I4*$C$33+J4*$C$34+L4*$C$35+M4*$C$36</f>
        <v>89.1</v>
      </c>
      <c r="O4" s="8" t="str">
        <f>IF(N4&lt;$C$41,$B$40,IF(N4&lt;$C$42,$B$41,$B$42))</f>
        <v>מצטיין</v>
      </c>
      <c r="P4" s="8" t="str">
        <f>IF(AND(D4=$C$46,O4=$B$42),"מלגה","")</f>
        <v/>
      </c>
      <c r="Q4" s="40" t="str">
        <f>IF(OR(D4=$C$46,O4=$B$42),"מלגה","")</f>
        <v>מלגה</v>
      </c>
      <c r="R4" s="59" t="str">
        <f>IF(NOT(N4&lt;$C$41),"מלגה","")</f>
        <v>מלגה</v>
      </c>
      <c r="S4" s="59"/>
      <c r="T4" s="56"/>
    </row>
    <row r="5" spans="1:20">
      <c r="A5" s="87"/>
      <c r="B5" s="29">
        <v>193878400</v>
      </c>
      <c r="C5" s="5" t="s">
        <v>3</v>
      </c>
      <c r="D5" s="5" t="s">
        <v>18</v>
      </c>
      <c r="E5" s="10">
        <v>9876544</v>
      </c>
      <c r="F5" s="13">
        <v>70000</v>
      </c>
      <c r="G5" s="37" t="s">
        <v>55</v>
      </c>
      <c r="H5" s="5">
        <v>81</v>
      </c>
      <c r="I5" s="5">
        <v>80</v>
      </c>
      <c r="J5" s="5">
        <v>82</v>
      </c>
      <c r="K5" s="16">
        <f t="shared" ref="K5:K13" si="0">AVERAGE(H5:J5)</f>
        <v>81</v>
      </c>
      <c r="L5" s="5">
        <v>81</v>
      </c>
      <c r="M5" s="5">
        <v>81</v>
      </c>
      <c r="N5" s="19">
        <f t="shared" ref="N5:N13" si="1">H5*$C$32+I5*$C$33+J5*$C$34+L5*$C$35+M5*$C$36</f>
        <v>81</v>
      </c>
      <c r="O5" s="5" t="str">
        <f t="shared" ref="O5:O13" si="2">IF(N5&lt;$C$41,$B$40,IF(N5&lt;$C$42,$B$41,$B$42))</f>
        <v>עובר</v>
      </c>
      <c r="P5" s="5" t="str">
        <f t="shared" ref="P5:P13" si="3">IF(AND(D5=$C$46,O5=$B$42),"מלגה","")</f>
        <v/>
      </c>
      <c r="Q5" s="41" t="str">
        <f t="shared" ref="Q5:Q13" si="4">IF(OR(D5=$C$46,O5=$B$42),"מלגה","")</f>
        <v>מלגה</v>
      </c>
      <c r="R5" s="58" t="str">
        <f t="shared" ref="R5:R13" si="5">IF(NOT(N5&lt;$C$41),"מלגה","")</f>
        <v>מלגה</v>
      </c>
      <c r="S5" s="58"/>
      <c r="T5" s="54"/>
    </row>
    <row r="6" spans="1:20">
      <c r="A6" s="87"/>
      <c r="B6" s="29">
        <v>658370843</v>
      </c>
      <c r="C6" s="5" t="s">
        <v>4</v>
      </c>
      <c r="D6" s="5" t="s">
        <v>18</v>
      </c>
      <c r="E6" s="10">
        <v>2118758</v>
      </c>
      <c r="F6" s="13">
        <v>55326</v>
      </c>
      <c r="G6" s="37" t="s">
        <v>55</v>
      </c>
      <c r="H6" s="5">
        <v>67</v>
      </c>
      <c r="I6" s="5">
        <v>99</v>
      </c>
      <c r="J6" s="5">
        <v>69</v>
      </c>
      <c r="K6" s="16">
        <f t="shared" si="0"/>
        <v>78.333333333333329</v>
      </c>
      <c r="L6" s="5">
        <v>90</v>
      </c>
      <c r="M6" s="5">
        <v>85</v>
      </c>
      <c r="N6" s="19">
        <f t="shared" si="1"/>
        <v>84.5</v>
      </c>
      <c r="O6" s="5" t="str">
        <f t="shared" si="2"/>
        <v>מצטיין</v>
      </c>
      <c r="P6" s="5" t="str">
        <f t="shared" si="3"/>
        <v>מלגה</v>
      </c>
      <c r="Q6" s="41" t="str">
        <f t="shared" si="4"/>
        <v>מלגה</v>
      </c>
      <c r="R6" s="58" t="str">
        <f t="shared" si="5"/>
        <v>מלגה</v>
      </c>
      <c r="S6" s="58"/>
      <c r="T6" s="54"/>
    </row>
    <row r="7" spans="1:20">
      <c r="A7" s="87"/>
      <c r="B7" s="29">
        <v>830998987</v>
      </c>
      <c r="C7" s="5" t="s">
        <v>5</v>
      </c>
      <c r="D7" s="5" t="s">
        <v>18</v>
      </c>
      <c r="E7" s="10">
        <v>3527439</v>
      </c>
      <c r="F7" s="13">
        <v>56324</v>
      </c>
      <c r="G7" s="37" t="s">
        <v>55</v>
      </c>
      <c r="H7" s="5">
        <v>80</v>
      </c>
      <c r="I7" s="5"/>
      <c r="J7" s="5">
        <v>87</v>
      </c>
      <c r="K7" s="16">
        <f t="shared" si="0"/>
        <v>83.5</v>
      </c>
      <c r="L7" s="5">
        <v>90</v>
      </c>
      <c r="M7" s="5"/>
      <c r="N7" s="19">
        <f t="shared" si="1"/>
        <v>43.7</v>
      </c>
      <c r="O7" s="5" t="str">
        <f t="shared" si="2"/>
        <v>נכשל</v>
      </c>
      <c r="P7" s="5" t="str">
        <f t="shared" si="3"/>
        <v/>
      </c>
      <c r="Q7" s="41" t="str">
        <f t="shared" si="4"/>
        <v>מלגה</v>
      </c>
      <c r="R7" s="58" t="str">
        <f t="shared" si="5"/>
        <v/>
      </c>
      <c r="S7" s="58"/>
      <c r="T7" s="54"/>
    </row>
    <row r="8" spans="1:20">
      <c r="A8" s="87"/>
      <c r="B8" s="29">
        <v>123456789</v>
      </c>
      <c r="C8" s="5" t="s">
        <v>42</v>
      </c>
      <c r="D8" s="5" t="s">
        <v>17</v>
      </c>
      <c r="E8" s="10">
        <v>7563094</v>
      </c>
      <c r="F8" s="13">
        <v>86534</v>
      </c>
      <c r="G8" s="37" t="s">
        <v>55</v>
      </c>
      <c r="H8" s="5">
        <v>91</v>
      </c>
      <c r="I8" s="5">
        <v>79</v>
      </c>
      <c r="J8" s="5">
        <v>85</v>
      </c>
      <c r="K8" s="16">
        <f t="shared" si="0"/>
        <v>85</v>
      </c>
      <c r="L8" s="5">
        <v>100</v>
      </c>
      <c r="M8" s="5">
        <v>50</v>
      </c>
      <c r="N8" s="19">
        <f t="shared" si="1"/>
        <v>75.5</v>
      </c>
      <c r="O8" s="5" t="str">
        <f t="shared" si="2"/>
        <v>עובר</v>
      </c>
      <c r="P8" s="5" t="str">
        <f t="shared" si="3"/>
        <v/>
      </c>
      <c r="Q8" s="41" t="str">
        <f t="shared" si="4"/>
        <v/>
      </c>
      <c r="R8" s="58" t="str">
        <f t="shared" si="5"/>
        <v>מלגה</v>
      </c>
      <c r="S8" s="58"/>
      <c r="T8" s="54"/>
    </row>
    <row r="9" spans="1:20">
      <c r="A9" s="87"/>
      <c r="B9" s="29">
        <v>298754355</v>
      </c>
      <c r="C9" s="5" t="s">
        <v>6</v>
      </c>
      <c r="D9" s="5" t="s">
        <v>17</v>
      </c>
      <c r="E9" s="10">
        <v>8763456</v>
      </c>
      <c r="F9" s="13">
        <v>83934</v>
      </c>
      <c r="G9" s="37" t="s">
        <v>0</v>
      </c>
      <c r="H9" s="5">
        <v>88</v>
      </c>
      <c r="I9" s="5">
        <v>90</v>
      </c>
      <c r="J9" s="5">
        <v>74</v>
      </c>
      <c r="K9" s="16">
        <f t="shared" si="0"/>
        <v>84</v>
      </c>
      <c r="L9" s="5">
        <v>55</v>
      </c>
      <c r="M9" s="5">
        <v>45</v>
      </c>
      <c r="N9" s="19">
        <f t="shared" si="1"/>
        <v>59.7</v>
      </c>
      <c r="O9" s="5" t="str">
        <f t="shared" si="2"/>
        <v>עובר</v>
      </c>
      <c r="P9" s="5" t="str">
        <f t="shared" si="3"/>
        <v/>
      </c>
      <c r="Q9" s="41" t="str">
        <f t="shared" si="4"/>
        <v/>
      </c>
      <c r="R9" s="58" t="str">
        <f t="shared" si="5"/>
        <v>מלגה</v>
      </c>
      <c r="S9" s="58"/>
      <c r="T9" s="54"/>
    </row>
    <row r="10" spans="1:20">
      <c r="A10" s="87"/>
      <c r="B10" s="29">
        <v>983687692</v>
      </c>
      <c r="C10" s="5" t="s">
        <v>7</v>
      </c>
      <c r="D10" s="5" t="s">
        <v>18</v>
      </c>
      <c r="E10" s="10">
        <v>6347234</v>
      </c>
      <c r="F10" s="13">
        <v>55235</v>
      </c>
      <c r="G10" s="37" t="s">
        <v>0</v>
      </c>
      <c r="H10" s="5">
        <v>45</v>
      </c>
      <c r="I10" s="5">
        <v>60</v>
      </c>
      <c r="J10" s="5"/>
      <c r="K10" s="16">
        <f t="shared" si="0"/>
        <v>52.5</v>
      </c>
      <c r="L10" s="5">
        <v>99</v>
      </c>
      <c r="M10" s="5">
        <v>94</v>
      </c>
      <c r="N10" s="19">
        <f t="shared" si="1"/>
        <v>77.800000000000011</v>
      </c>
      <c r="O10" s="5" t="str">
        <f t="shared" si="2"/>
        <v>עובר</v>
      </c>
      <c r="P10" s="5" t="str">
        <f t="shared" si="3"/>
        <v/>
      </c>
      <c r="Q10" s="41" t="str">
        <f t="shared" si="4"/>
        <v>מלגה</v>
      </c>
      <c r="R10" s="58" t="str">
        <f t="shared" si="5"/>
        <v>מלגה</v>
      </c>
      <c r="S10" s="58"/>
      <c r="T10" s="54"/>
    </row>
    <row r="11" spans="1:20">
      <c r="A11" s="87"/>
      <c r="B11" s="29">
        <v>947465892</v>
      </c>
      <c r="C11" s="5" t="s">
        <v>19</v>
      </c>
      <c r="D11" s="5" t="s">
        <v>17</v>
      </c>
      <c r="E11" s="10">
        <v>3434324</v>
      </c>
      <c r="F11" s="13">
        <v>41466</v>
      </c>
      <c r="G11" s="37" t="s">
        <v>0</v>
      </c>
      <c r="H11" s="5"/>
      <c r="I11" s="5">
        <v>79</v>
      </c>
      <c r="J11" s="5">
        <v>99</v>
      </c>
      <c r="K11" s="16">
        <f t="shared" si="0"/>
        <v>89</v>
      </c>
      <c r="L11" s="5">
        <v>86</v>
      </c>
      <c r="M11" s="5">
        <v>65</v>
      </c>
      <c r="N11" s="19">
        <f t="shared" si="1"/>
        <v>69.599999999999994</v>
      </c>
      <c r="O11" s="5" t="str">
        <f t="shared" si="2"/>
        <v>עובר</v>
      </c>
      <c r="P11" s="5" t="str">
        <f t="shared" si="3"/>
        <v/>
      </c>
      <c r="Q11" s="41" t="str">
        <f t="shared" si="4"/>
        <v/>
      </c>
      <c r="R11" s="58" t="str">
        <f t="shared" si="5"/>
        <v>מלגה</v>
      </c>
      <c r="S11" s="58"/>
      <c r="T11" s="54"/>
    </row>
    <row r="12" spans="1:20">
      <c r="A12" s="87"/>
      <c r="B12" s="29">
        <v>388923057</v>
      </c>
      <c r="C12" s="5" t="s">
        <v>5</v>
      </c>
      <c r="D12" s="5" t="s">
        <v>18</v>
      </c>
      <c r="E12" s="10">
        <v>8743644</v>
      </c>
      <c r="F12" s="13">
        <v>44141</v>
      </c>
      <c r="G12" s="37" t="s">
        <v>0</v>
      </c>
      <c r="H12" s="5">
        <v>60</v>
      </c>
      <c r="I12" s="5">
        <v>100</v>
      </c>
      <c r="J12" s="5">
        <v>80</v>
      </c>
      <c r="K12" s="16">
        <f t="shared" si="0"/>
        <v>80</v>
      </c>
      <c r="L12" s="5">
        <v>40</v>
      </c>
      <c r="M12" s="5">
        <v>61</v>
      </c>
      <c r="N12" s="19">
        <f t="shared" si="1"/>
        <v>60.400000000000006</v>
      </c>
      <c r="O12" s="5" t="str">
        <f t="shared" si="2"/>
        <v>עובר</v>
      </c>
      <c r="P12" s="5" t="str">
        <f t="shared" si="3"/>
        <v/>
      </c>
      <c r="Q12" s="41" t="str">
        <f t="shared" si="4"/>
        <v>מלגה</v>
      </c>
      <c r="R12" s="58" t="str">
        <f t="shared" si="5"/>
        <v>מלגה</v>
      </c>
      <c r="S12" s="58"/>
      <c r="T12" s="54"/>
    </row>
    <row r="13" spans="1:20" ht="13.5" thickBot="1">
      <c r="A13" s="88"/>
      <c r="B13" s="30">
        <v>244576280</v>
      </c>
      <c r="C13" s="7" t="s">
        <v>19</v>
      </c>
      <c r="D13" s="7" t="s">
        <v>18</v>
      </c>
      <c r="E13" s="11">
        <v>3252524</v>
      </c>
      <c r="F13" s="14">
        <v>44451</v>
      </c>
      <c r="G13" s="38" t="s">
        <v>0</v>
      </c>
      <c r="H13" s="7">
        <v>94</v>
      </c>
      <c r="I13" s="7">
        <v>100</v>
      </c>
      <c r="J13" s="7">
        <v>93</v>
      </c>
      <c r="K13" s="17">
        <f t="shared" si="0"/>
        <v>95.666666666666671</v>
      </c>
      <c r="L13" s="7">
        <v>95</v>
      </c>
      <c r="M13" s="7">
        <v>100</v>
      </c>
      <c r="N13" s="20">
        <f t="shared" si="1"/>
        <v>97.2</v>
      </c>
      <c r="O13" s="7" t="str">
        <f t="shared" si="2"/>
        <v>מצטיין</v>
      </c>
      <c r="P13" s="7" t="str">
        <f t="shared" si="3"/>
        <v>מלגה</v>
      </c>
      <c r="Q13" s="42" t="str">
        <f t="shared" si="4"/>
        <v>מלגה</v>
      </c>
      <c r="R13" s="57" t="str">
        <f t="shared" si="5"/>
        <v>מלגה</v>
      </c>
      <c r="S13" s="57"/>
      <c r="T13" s="55"/>
    </row>
    <row r="14" spans="1:20" ht="14.25" thickTop="1" thickBot="1">
      <c r="L14"/>
      <c r="M14"/>
    </row>
    <row r="15" spans="1:20" ht="12.75" customHeight="1" thickTop="1">
      <c r="A15" s="89" t="s">
        <v>47</v>
      </c>
      <c r="B15" s="21" t="s">
        <v>20</v>
      </c>
      <c r="C15" s="21"/>
      <c r="D15" s="21"/>
      <c r="E15" s="21"/>
      <c r="F15" s="21"/>
      <c r="G15" s="21"/>
      <c r="H15" s="31">
        <f>AVERAGE(H4:H13)</f>
        <v>77.222222222222229</v>
      </c>
      <c r="I15" s="31">
        <f t="shared" ref="I15:N15" si="6">AVERAGE(I4:I13)</f>
        <v>85.888888888888886</v>
      </c>
      <c r="J15" s="31">
        <f t="shared" si="6"/>
        <v>85.333333333333329</v>
      </c>
      <c r="K15" s="31">
        <f t="shared" si="6"/>
        <v>82.033333333333331</v>
      </c>
      <c r="L15" s="31">
        <f t="shared" si="6"/>
        <v>83.5</v>
      </c>
      <c r="M15" s="31">
        <f t="shared" si="6"/>
        <v>73.444444444444443</v>
      </c>
      <c r="N15" s="32">
        <f t="shared" si="6"/>
        <v>73.849999999999994</v>
      </c>
    </row>
    <row r="16" spans="1:20">
      <c r="A16" s="90"/>
      <c r="B16" s="5" t="s">
        <v>21</v>
      </c>
      <c r="C16" s="5"/>
      <c r="D16" s="5"/>
      <c r="E16" s="5"/>
      <c r="F16" s="5"/>
      <c r="G16" s="5"/>
      <c r="H16" s="16">
        <f>MEDIAN(H4:H13)</f>
        <v>81</v>
      </c>
      <c r="I16" s="16">
        <f t="shared" ref="I16:N16" si="7">MEDIAN(I4:I13)</f>
        <v>86</v>
      </c>
      <c r="J16" s="16">
        <f t="shared" si="7"/>
        <v>85</v>
      </c>
      <c r="K16" s="16">
        <f t="shared" si="7"/>
        <v>83.75</v>
      </c>
      <c r="L16" s="16">
        <f t="shared" si="7"/>
        <v>90</v>
      </c>
      <c r="M16" s="16">
        <f t="shared" si="7"/>
        <v>80</v>
      </c>
      <c r="N16" s="24">
        <f t="shared" si="7"/>
        <v>76.650000000000006</v>
      </c>
    </row>
    <row r="17" spans="1:14">
      <c r="A17" s="90"/>
      <c r="B17" s="5" t="s">
        <v>22</v>
      </c>
      <c r="C17" s="5"/>
      <c r="D17" s="5"/>
      <c r="E17" s="5"/>
      <c r="F17" s="5"/>
      <c r="G17" s="5"/>
      <c r="H17" s="16" t="e">
        <f>MODE(H4:H13)</f>
        <v>#N/A</v>
      </c>
      <c r="I17" s="16">
        <f t="shared" ref="I17:N17" si="8">MODE(I4:I13)</f>
        <v>79</v>
      </c>
      <c r="J17" s="16">
        <f t="shared" si="8"/>
        <v>99</v>
      </c>
      <c r="K17" s="16" t="e">
        <f t="shared" si="8"/>
        <v>#N/A</v>
      </c>
      <c r="L17" s="16">
        <f t="shared" si="8"/>
        <v>99</v>
      </c>
      <c r="M17" s="16" t="e">
        <f t="shared" si="8"/>
        <v>#N/A</v>
      </c>
      <c r="N17" s="24" t="e">
        <f t="shared" si="8"/>
        <v>#N/A</v>
      </c>
    </row>
    <row r="18" spans="1:14">
      <c r="A18" s="90"/>
      <c r="B18" s="5" t="s">
        <v>23</v>
      </c>
      <c r="C18" s="5"/>
      <c r="D18" s="5"/>
      <c r="E18" s="5"/>
      <c r="F18" s="5"/>
      <c r="G18" s="5"/>
      <c r="H18" s="16">
        <f>MAX(H4:H13)</f>
        <v>94</v>
      </c>
      <c r="I18" s="16">
        <f t="shared" ref="I18:N18" si="9">MAX(I4:I13)</f>
        <v>100</v>
      </c>
      <c r="J18" s="16">
        <f t="shared" si="9"/>
        <v>99</v>
      </c>
      <c r="K18" s="16">
        <f t="shared" si="9"/>
        <v>95.666666666666671</v>
      </c>
      <c r="L18" s="16">
        <f t="shared" si="9"/>
        <v>100</v>
      </c>
      <c r="M18" s="16">
        <f t="shared" si="9"/>
        <v>100</v>
      </c>
      <c r="N18" s="24">
        <f t="shared" si="9"/>
        <v>97.2</v>
      </c>
    </row>
    <row r="19" spans="1:14">
      <c r="A19" s="90"/>
      <c r="B19" s="5" t="s">
        <v>24</v>
      </c>
      <c r="C19" s="5"/>
      <c r="D19" s="5"/>
      <c r="E19" s="5"/>
      <c r="F19" s="5"/>
      <c r="G19" s="5"/>
      <c r="H19" s="16">
        <f>MIN(H4:H13)</f>
        <v>45</v>
      </c>
      <c r="I19" s="16">
        <f t="shared" ref="I19:N19" si="10">MIN(I4:I13)</f>
        <v>60</v>
      </c>
      <c r="J19" s="16">
        <f t="shared" si="10"/>
        <v>69</v>
      </c>
      <c r="K19" s="16">
        <f t="shared" si="10"/>
        <v>52.5</v>
      </c>
      <c r="L19" s="16">
        <f t="shared" si="10"/>
        <v>40</v>
      </c>
      <c r="M19" s="16">
        <f t="shared" si="10"/>
        <v>45</v>
      </c>
      <c r="N19" s="24">
        <f t="shared" si="10"/>
        <v>43.7</v>
      </c>
    </row>
    <row r="20" spans="1:14">
      <c r="A20" s="90"/>
      <c r="B20" s="5" t="s">
        <v>43</v>
      </c>
      <c r="C20" s="5"/>
      <c r="D20" s="5"/>
      <c r="E20" s="5"/>
      <c r="F20" s="5"/>
      <c r="G20" s="5"/>
      <c r="H20" s="16">
        <f>STDEV(H4:H13)</f>
        <v>16.536155673083279</v>
      </c>
      <c r="I20" s="16">
        <f t="shared" ref="I20:N20" si="11">STDEV(I4:I13)</f>
        <v>13.166666666666675</v>
      </c>
      <c r="J20" s="16">
        <f t="shared" si="11"/>
        <v>10.428326807307105</v>
      </c>
      <c r="K20" s="16">
        <f t="shared" si="11"/>
        <v>11.67534069082849</v>
      </c>
      <c r="L20" s="16">
        <f t="shared" si="11"/>
        <v>20.23885152648517</v>
      </c>
      <c r="M20" s="16">
        <f t="shared" si="11"/>
        <v>19.190564811327921</v>
      </c>
      <c r="N20" s="24">
        <f t="shared" si="11"/>
        <v>15.877534793257764</v>
      </c>
    </row>
    <row r="21" spans="1:14">
      <c r="A21" s="90"/>
      <c r="B21" s="5" t="s">
        <v>44</v>
      </c>
      <c r="C21" s="5"/>
      <c r="D21" s="5"/>
      <c r="E21" s="5"/>
      <c r="F21" s="5"/>
      <c r="G21" s="5"/>
      <c r="H21" s="16">
        <f>VAR(H4:H13)</f>
        <v>273.44444444444434</v>
      </c>
      <c r="I21" s="16">
        <f t="shared" ref="I21:N21" si="12">VAR(I4:I13)</f>
        <v>173.36111111111131</v>
      </c>
      <c r="J21" s="16">
        <f t="shared" si="12"/>
        <v>108.75</v>
      </c>
      <c r="K21" s="16">
        <f t="shared" si="12"/>
        <v>136.31358024691548</v>
      </c>
      <c r="L21" s="16">
        <f t="shared" si="12"/>
        <v>409.61111111111109</v>
      </c>
      <c r="M21" s="16">
        <f t="shared" si="12"/>
        <v>368.27777777777737</v>
      </c>
      <c r="N21" s="24">
        <f t="shared" si="12"/>
        <v>252.09611111111087</v>
      </c>
    </row>
    <row r="22" spans="1:14">
      <c r="A22" s="90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0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4">COUNTIF(I4:I13,"&lt;"&amp;$C$41)</f>
        <v>0</v>
      </c>
      <c r="J23" s="5">
        <f t="shared" si="14"/>
        <v>0</v>
      </c>
      <c r="K23" s="5">
        <f t="shared" si="14"/>
        <v>1</v>
      </c>
      <c r="L23" s="5">
        <f t="shared" si="14"/>
        <v>2</v>
      </c>
      <c r="M23" s="5">
        <f t="shared" si="14"/>
        <v>2</v>
      </c>
      <c r="N23" s="23">
        <f t="shared" si="14"/>
        <v>1</v>
      </c>
    </row>
    <row r="24" spans="1:14">
      <c r="A24" s="90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5">COUNTIFS(I4:I13,"&gt;="&amp;$C$41,I4:I13,"&lt;"&amp;$C$42)</f>
        <v>4</v>
      </c>
      <c r="J24" s="5">
        <f t="shared" si="15"/>
        <v>4</v>
      </c>
      <c r="K24" s="5">
        <f t="shared" si="15"/>
        <v>5</v>
      </c>
      <c r="L24" s="5">
        <f t="shared" si="15"/>
        <v>1</v>
      </c>
      <c r="M24" s="5">
        <f t="shared" si="15"/>
        <v>4</v>
      </c>
      <c r="N24" s="23">
        <f t="shared" si="15"/>
        <v>6</v>
      </c>
    </row>
    <row r="25" spans="1:14">
      <c r="A25" s="90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6">COUNTIF(I4:I13,"&gt;="&amp;$C$42)</f>
        <v>5</v>
      </c>
      <c r="J25" s="5">
        <f t="shared" si="16"/>
        <v>5</v>
      </c>
      <c r="K25" s="5">
        <f t="shared" si="16"/>
        <v>4</v>
      </c>
      <c r="L25" s="5">
        <f t="shared" si="16"/>
        <v>7</v>
      </c>
      <c r="M25" s="5">
        <f t="shared" si="16"/>
        <v>3</v>
      </c>
      <c r="N25" s="23">
        <f t="shared" si="16"/>
        <v>3</v>
      </c>
    </row>
    <row r="26" spans="1:14">
      <c r="A26" s="90"/>
      <c r="B26" s="37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7">COUNTIFS($D$4:$D$13,$C$45,I4:I13,"&gt;="&amp;$C$42)</f>
        <v>2</v>
      </c>
      <c r="J26" s="5">
        <f t="shared" si="17"/>
        <v>3</v>
      </c>
      <c r="K26" s="5">
        <f t="shared" si="17"/>
        <v>3</v>
      </c>
      <c r="L26" s="5">
        <f t="shared" si="17"/>
        <v>3</v>
      </c>
      <c r="M26" s="5">
        <f t="shared" si="17"/>
        <v>0</v>
      </c>
      <c r="N26" s="6">
        <f t="shared" si="17"/>
        <v>1</v>
      </c>
    </row>
    <row r="27" spans="1:14">
      <c r="A27" s="91"/>
      <c r="B27" s="43"/>
      <c r="C27" s="5" t="str">
        <f>B46</f>
        <v>סטודנטיות</v>
      </c>
      <c r="D27" s="43"/>
      <c r="E27" s="43"/>
      <c r="F27" s="43"/>
      <c r="G27" s="43"/>
      <c r="H27" s="43">
        <f>COUNTIFS($D$4:$D$13,$C$46,H4:H13,$E$42)</f>
        <v>1</v>
      </c>
      <c r="I27" s="43">
        <f t="shared" ref="I27:N27" si="18">COUNTIFS($D$4:$D$13,$C$46,I4:I13,$E$42)</f>
        <v>3</v>
      </c>
      <c r="J27" s="43">
        <f t="shared" si="18"/>
        <v>2</v>
      </c>
      <c r="K27" s="43">
        <f t="shared" si="18"/>
        <v>1</v>
      </c>
      <c r="L27" s="43">
        <f t="shared" si="18"/>
        <v>4</v>
      </c>
      <c r="M27" s="43">
        <f t="shared" si="18"/>
        <v>3</v>
      </c>
      <c r="N27" s="44">
        <f t="shared" si="18"/>
        <v>2</v>
      </c>
    </row>
    <row r="28" spans="1:14">
      <c r="A28" s="91"/>
      <c r="B28" s="43" t="s">
        <v>38</v>
      </c>
      <c r="C28" s="43"/>
      <c r="D28" s="43">
        <f>COUNTA(C4:C13)</f>
        <v>10</v>
      </c>
      <c r="E28" s="43"/>
      <c r="F28" s="43"/>
      <c r="G28" s="47" t="s">
        <v>63</v>
      </c>
      <c r="H28" s="48">
        <f>SUMIFS(H4:H13,H4:H13,"&gt;="&amp;$C$41,H4:H13,"&lt;"&amp;$C$42)/H24</f>
        <v>72</v>
      </c>
      <c r="I28" s="48">
        <f t="shared" ref="I28:N28" si="19">SUMIFS(I4:I13,I4:I13,"&gt;="&amp;$C$41,I4:I13,"&lt;"&amp;$C$42)/I24</f>
        <v>74.5</v>
      </c>
      <c r="J28" s="48">
        <f t="shared" si="19"/>
        <v>76.25</v>
      </c>
      <c r="K28" s="48">
        <f t="shared" si="19"/>
        <v>81.36666666666666</v>
      </c>
      <c r="L28" s="48">
        <f t="shared" si="19"/>
        <v>81</v>
      </c>
      <c r="M28" s="48">
        <f t="shared" si="19"/>
        <v>71.75</v>
      </c>
      <c r="N28" s="49">
        <f t="shared" si="19"/>
        <v>70.666666666666671</v>
      </c>
    </row>
    <row r="29" spans="1:14">
      <c r="A29" s="91"/>
      <c r="B29" s="37" t="s">
        <v>60</v>
      </c>
      <c r="C29" s="43" t="str">
        <f>B45</f>
        <v>סטודנטים</v>
      </c>
      <c r="D29" s="43">
        <f>COUNTIF(D4:D13,C45)</f>
        <v>4</v>
      </c>
      <c r="E29" s="43"/>
      <c r="F29" s="43"/>
      <c r="G29" s="46" t="s">
        <v>62</v>
      </c>
      <c r="H29" s="48">
        <f>SUMIF($D$4:$D$13,$C45,H$4:H$13)/$D29</f>
        <v>67</v>
      </c>
      <c r="I29" s="48">
        <f t="shared" ref="I29:N29" si="20">SUMIF($D$4:$D$13,$C45,I$4:I$13)/$D29</f>
        <v>83.5</v>
      </c>
      <c r="J29" s="48">
        <f t="shared" si="20"/>
        <v>89.25</v>
      </c>
      <c r="K29" s="48">
        <f t="shared" si="20"/>
        <v>87.333333333333329</v>
      </c>
      <c r="L29" s="48">
        <f t="shared" si="20"/>
        <v>85</v>
      </c>
      <c r="M29" s="48">
        <f t="shared" si="20"/>
        <v>60</v>
      </c>
      <c r="N29" s="49">
        <f t="shared" si="20"/>
        <v>73.474999999999994</v>
      </c>
    </row>
    <row r="30" spans="1:14" ht="13.5" thickBot="1">
      <c r="A30" s="92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0">
        <f t="shared" ref="H30:N30" si="21">SUMIF($D$4:$D$13,$C46,H$4:H$13)/$D30</f>
        <v>71.166666666666671</v>
      </c>
      <c r="I30" s="52">
        <f t="shared" si="21"/>
        <v>73.166666666666671</v>
      </c>
      <c r="J30" s="50">
        <f t="shared" si="21"/>
        <v>68.5</v>
      </c>
      <c r="K30" s="50">
        <f t="shared" si="21"/>
        <v>78.5</v>
      </c>
      <c r="L30" s="50">
        <f t="shared" si="21"/>
        <v>82.5</v>
      </c>
      <c r="M30" s="50">
        <f t="shared" si="21"/>
        <v>70.166666666666671</v>
      </c>
      <c r="N30" s="51">
        <f t="shared" si="21"/>
        <v>74.099999999999994</v>
      </c>
    </row>
    <row r="31" spans="1:14" ht="14.25" thickTop="1" thickBot="1">
      <c r="L31"/>
      <c r="M31"/>
    </row>
    <row r="32" spans="1:14" ht="13.5" thickTop="1">
      <c r="A32" s="80" t="s">
        <v>48</v>
      </c>
      <c r="B32" s="21" t="s">
        <v>26</v>
      </c>
      <c r="C32" s="33">
        <v>0.1</v>
      </c>
      <c r="L32"/>
      <c r="M32"/>
    </row>
    <row r="33" spans="1:14">
      <c r="A33" s="81"/>
      <c r="B33" s="5" t="s">
        <v>27</v>
      </c>
      <c r="C33" s="34">
        <v>0.1</v>
      </c>
      <c r="L33"/>
      <c r="M33"/>
    </row>
    <row r="34" spans="1:14">
      <c r="A34" s="81"/>
      <c r="B34" s="5" t="s">
        <v>28</v>
      </c>
      <c r="C34" s="34">
        <v>0.1</v>
      </c>
      <c r="L34"/>
      <c r="M34"/>
    </row>
    <row r="35" spans="1:14">
      <c r="A35" s="81"/>
      <c r="B35" s="5" t="s">
        <v>29</v>
      </c>
      <c r="C35" s="34">
        <v>0.3</v>
      </c>
      <c r="L35"/>
      <c r="M35"/>
    </row>
    <row r="36" spans="1:14">
      <c r="A36" s="81"/>
      <c r="B36" s="5" t="s">
        <v>30</v>
      </c>
      <c r="C36" s="34">
        <v>0.4</v>
      </c>
      <c r="L36"/>
      <c r="M36"/>
    </row>
    <row r="37" spans="1:14" ht="13.5" thickBot="1">
      <c r="A37" s="82"/>
      <c r="B37" s="7" t="s">
        <v>31</v>
      </c>
      <c r="C37" s="35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80" t="s">
        <v>49</v>
      </c>
      <c r="B39" s="21"/>
      <c r="C39" s="21" t="s">
        <v>32</v>
      </c>
      <c r="D39" s="22" t="s">
        <v>33</v>
      </c>
      <c r="L39"/>
      <c r="M39"/>
      <c r="N39" s="1"/>
    </row>
    <row r="40" spans="1:14">
      <c r="A40" s="81"/>
      <c r="B40" s="5" t="s">
        <v>34</v>
      </c>
      <c r="C40" s="16">
        <v>0</v>
      </c>
      <c r="D40" s="24">
        <v>59.49</v>
      </c>
      <c r="E40" s="3"/>
      <c r="F40" s="3"/>
      <c r="G40" s="3"/>
      <c r="L40"/>
      <c r="M40"/>
      <c r="N40" s="2"/>
    </row>
    <row r="41" spans="1:14">
      <c r="A41" s="81"/>
      <c r="B41" s="5" t="s">
        <v>35</v>
      </c>
      <c r="C41" s="16">
        <v>59.5</v>
      </c>
      <c r="D41" s="24">
        <v>84.49</v>
      </c>
      <c r="E41" s="3"/>
      <c r="F41" s="3"/>
      <c r="G41" s="3"/>
      <c r="L41"/>
      <c r="M41"/>
      <c r="N41" s="1"/>
    </row>
    <row r="42" spans="1:14" ht="13.5" thickBot="1">
      <c r="A42" s="82"/>
      <c r="B42" s="7" t="s">
        <v>36</v>
      </c>
      <c r="C42" s="17">
        <f>84.5</f>
        <v>84.5</v>
      </c>
      <c r="D42" s="25">
        <v>100</v>
      </c>
      <c r="E42" s="45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80" t="s">
        <v>58</v>
      </c>
      <c r="B44" s="83" t="s">
        <v>8</v>
      </c>
      <c r="C44" s="84"/>
    </row>
    <row r="45" spans="1:14">
      <c r="A45" s="81"/>
      <c r="B45" s="5" t="s">
        <v>56</v>
      </c>
      <c r="C45" s="24" t="s">
        <v>17</v>
      </c>
    </row>
    <row r="46" spans="1:14" ht="13.5" thickBot="1">
      <c r="A46" s="82"/>
      <c r="B46" s="7" t="s">
        <v>57</v>
      </c>
      <c r="C46" s="25" t="s">
        <v>18</v>
      </c>
    </row>
    <row r="47" spans="1:14" ht="13.5" thickTop="1"/>
  </sheetData>
  <mergeCells count="7">
    <mergeCell ref="A44:A46"/>
    <mergeCell ref="B44:C44"/>
    <mergeCell ref="A1:R1"/>
    <mergeCell ref="A3:A13"/>
    <mergeCell ref="A15:A30"/>
    <mergeCell ref="A32:A37"/>
    <mergeCell ref="A39:A42"/>
  </mergeCells>
  <conditionalFormatting sqref="B4:B13">
    <cfRule type="duplicateValues" dxfId="65" priority="15"/>
  </conditionalFormatting>
  <conditionalFormatting sqref="N4:N13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3Symbols2">
        <cfvo type="percent" val="0"/>
        <cfvo type="percent" val="33"/>
        <cfvo type="percent" val="67"/>
      </iconSet>
    </cfRule>
    <cfRule type="dataBar" priority="14">
      <dataBar>
        <cfvo type="min"/>
        <cfvo type="max"/>
        <color rgb="FF008AEF"/>
      </dataBar>
    </cfRule>
  </conditionalFormatting>
  <conditionalFormatting sqref="O4:O13">
    <cfRule type="cellIs" dxfId="64" priority="9" operator="equal">
      <formula>$B$40</formula>
    </cfRule>
    <cfRule type="cellIs" dxfId="63" priority="10" operator="equal">
      <formula>$B$41</formula>
    </cfRule>
    <cfRule type="cellIs" dxfId="62" priority="11" operator="equal">
      <formula>$B$42</formula>
    </cfRule>
  </conditionalFormatting>
  <conditionalFormatting sqref="B4:Q13">
    <cfRule type="expression" dxfId="61" priority="8">
      <formula>$O4=$B$40</formula>
    </cfRule>
  </conditionalFormatting>
  <conditionalFormatting sqref="B8">
    <cfRule type="duplicateValues" dxfId="60" priority="7"/>
  </conditionalFormatting>
  <conditionalFormatting sqref="B8">
    <cfRule type="expression" dxfId="59" priority="6">
      <formula>$O8=$B$40</formula>
    </cfRule>
  </conditionalFormatting>
  <conditionalFormatting sqref="B8">
    <cfRule type="duplicateValues" dxfId="58" priority="5"/>
  </conditionalFormatting>
  <conditionalFormatting sqref="B8">
    <cfRule type="expression" dxfId="57" priority="4">
      <formula>$O8=$B$40</formula>
    </cfRule>
  </conditionalFormatting>
  <conditionalFormatting sqref="S4:S13">
    <cfRule type="expression" dxfId="56" priority="3">
      <formula>$O4=$B$40</formula>
    </cfRule>
  </conditionalFormatting>
  <conditionalFormatting sqref="T4:T13">
    <cfRule type="expression" dxfId="55" priority="2">
      <formula>$O4=$B$40</formula>
    </cfRule>
  </conditionalFormatting>
  <conditionalFormatting sqref="R4:R13">
    <cfRule type="expression" dxfId="54" priority="1">
      <formula>$O4=$B$40</formula>
    </cfRule>
  </conditionalFormatting>
  <dataValidations count="2">
    <dataValidation type="whole" allowBlank="1" showInputMessage="1" showErrorMessage="1" sqref="H4:J13 L4:M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0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ht="13.5" thickBot="1"/>
    <row r="3" spans="1:20" s="4" customFormat="1" ht="27" thickTop="1" thickBot="1">
      <c r="A3" s="86" t="s">
        <v>46</v>
      </c>
      <c r="B3" s="27" t="s">
        <v>41</v>
      </c>
      <c r="C3" s="26" t="s">
        <v>1</v>
      </c>
      <c r="D3" s="26" t="s">
        <v>8</v>
      </c>
      <c r="E3" s="26" t="s">
        <v>51</v>
      </c>
      <c r="F3" s="26" t="s">
        <v>50</v>
      </c>
      <c r="G3" s="26" t="s">
        <v>54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39</v>
      </c>
      <c r="Q3" s="39" t="s">
        <v>40</v>
      </c>
      <c r="R3" s="61" t="s">
        <v>59</v>
      </c>
      <c r="S3" s="61" t="s">
        <v>65</v>
      </c>
      <c r="T3" s="60" t="s">
        <v>64</v>
      </c>
    </row>
    <row r="4" spans="1:20">
      <c r="A4" s="87"/>
      <c r="B4" s="28">
        <v>123456789</v>
      </c>
      <c r="C4" s="8" t="s">
        <v>2</v>
      </c>
      <c r="D4" s="8" t="s">
        <v>17</v>
      </c>
      <c r="E4" s="9">
        <v>9877665</v>
      </c>
      <c r="F4" s="12">
        <v>123</v>
      </c>
      <c r="G4" s="36" t="s">
        <v>55</v>
      </c>
      <c r="H4" s="8">
        <v>89</v>
      </c>
      <c r="I4" s="8">
        <v>86</v>
      </c>
      <c r="J4" s="8">
        <v>99</v>
      </c>
      <c r="K4" s="15">
        <f>AVERAGE(H4:J4)</f>
        <v>91.333333333333329</v>
      </c>
      <c r="L4" s="8">
        <v>99</v>
      </c>
      <c r="M4" s="8">
        <v>80</v>
      </c>
      <c r="N4" s="18">
        <f>ROUND(H4*$C$32+I4*$C$33+J4*$C$34+L4*$C$35+M4*$C$36,0)</f>
        <v>89</v>
      </c>
      <c r="O4" s="8" t="str">
        <f>IF(N4&lt;$C$41,$B$40,IF(N4&lt;$C$42,$B$41,$B$42))</f>
        <v>מצטיין</v>
      </c>
      <c r="P4" s="8" t="str">
        <f>IF(AND(D4=$C$46,O4=$B$42),"מלגה","")</f>
        <v/>
      </c>
      <c r="Q4" s="40" t="str">
        <f>IF(OR(D4=$C$46,O4=$B$42),"מלגה","")</f>
        <v>מלגה</v>
      </c>
      <c r="R4" s="59" t="str">
        <f>IF(NOT(N4&lt;$C$41),"מלגה","")</f>
        <v>מלגה</v>
      </c>
      <c r="S4" s="59"/>
      <c r="T4" s="56"/>
    </row>
    <row r="5" spans="1:20">
      <c r="A5" s="87"/>
      <c r="B5" s="29">
        <v>193878400</v>
      </c>
      <c r="C5" s="5" t="s">
        <v>3</v>
      </c>
      <c r="D5" s="5" t="s">
        <v>18</v>
      </c>
      <c r="E5" s="10">
        <v>9876544</v>
      </c>
      <c r="F5" s="13">
        <v>70000</v>
      </c>
      <c r="G5" s="37" t="s">
        <v>55</v>
      </c>
      <c r="H5" s="5">
        <v>81</v>
      </c>
      <c r="I5" s="5">
        <v>80</v>
      </c>
      <c r="J5" s="5">
        <v>82</v>
      </c>
      <c r="K5" s="16">
        <f t="shared" ref="K5:K13" si="0">AVERAGE(H5:J5)</f>
        <v>81</v>
      </c>
      <c r="L5" s="5">
        <v>81</v>
      </c>
      <c r="M5" s="5">
        <v>81</v>
      </c>
      <c r="N5" s="19">
        <f t="shared" ref="N5:N13" si="1">ROUND(H5*$C$32+I5*$C$33+J5*$C$34+L5*$C$35+M5*$C$36,0)</f>
        <v>81</v>
      </c>
      <c r="O5" s="5" t="str">
        <f t="shared" ref="O5:O13" si="2">IF(N5&lt;$C$41,$B$40,IF(N5&lt;$C$42,$B$41,$B$42))</f>
        <v>עובר</v>
      </c>
      <c r="P5" s="5" t="str">
        <f t="shared" ref="P5:P13" si="3">IF(AND(D5=$C$46,O5=$B$42),"מלגה","")</f>
        <v/>
      </c>
      <c r="Q5" s="41" t="str">
        <f t="shared" ref="Q5:Q13" si="4">IF(OR(D5=$C$46,O5=$B$42),"מלגה","")</f>
        <v>מלגה</v>
      </c>
      <c r="R5" s="58" t="str">
        <f t="shared" ref="R5:R13" si="5">IF(NOT(N5&lt;$C$41),"מלגה","")</f>
        <v>מלגה</v>
      </c>
      <c r="S5" s="58"/>
      <c r="T5" s="54"/>
    </row>
    <row r="6" spans="1:20">
      <c r="A6" s="87"/>
      <c r="B6" s="29">
        <v>658370843</v>
      </c>
      <c r="C6" s="5" t="s">
        <v>4</v>
      </c>
      <c r="D6" s="5" t="s">
        <v>18</v>
      </c>
      <c r="E6" s="10">
        <v>2118758</v>
      </c>
      <c r="F6" s="13">
        <v>55326</v>
      </c>
      <c r="G6" s="37" t="s">
        <v>55</v>
      </c>
      <c r="H6" s="5">
        <v>67</v>
      </c>
      <c r="I6" s="5">
        <v>99</v>
      </c>
      <c r="J6" s="5">
        <v>69</v>
      </c>
      <c r="K6" s="16">
        <f t="shared" si="0"/>
        <v>78.333333333333329</v>
      </c>
      <c r="L6" s="5">
        <v>90</v>
      </c>
      <c r="M6" s="5">
        <v>85</v>
      </c>
      <c r="N6" s="19">
        <f t="shared" si="1"/>
        <v>85</v>
      </c>
      <c r="O6" s="5" t="str">
        <f t="shared" si="2"/>
        <v>מצטיין</v>
      </c>
      <c r="P6" s="5" t="str">
        <f t="shared" si="3"/>
        <v>מלגה</v>
      </c>
      <c r="Q6" s="41" t="str">
        <f t="shared" si="4"/>
        <v>מלגה</v>
      </c>
      <c r="R6" s="58" t="str">
        <f t="shared" si="5"/>
        <v>מלגה</v>
      </c>
      <c r="S6" s="58"/>
      <c r="T6" s="54"/>
    </row>
    <row r="7" spans="1:20">
      <c r="A7" s="87"/>
      <c r="B7" s="29">
        <v>830998987</v>
      </c>
      <c r="C7" s="5" t="s">
        <v>5</v>
      </c>
      <c r="D7" s="5" t="s">
        <v>18</v>
      </c>
      <c r="E7" s="10">
        <v>3527439</v>
      </c>
      <c r="F7" s="13">
        <v>56324</v>
      </c>
      <c r="G7" s="37" t="s">
        <v>55</v>
      </c>
      <c r="H7" s="5">
        <v>80</v>
      </c>
      <c r="I7" s="5"/>
      <c r="J7" s="5">
        <v>87</v>
      </c>
      <c r="K7" s="16">
        <f t="shared" si="0"/>
        <v>83.5</v>
      </c>
      <c r="L7" s="5">
        <v>90</v>
      </c>
      <c r="M7" s="5"/>
      <c r="N7" s="19">
        <f t="shared" si="1"/>
        <v>44</v>
      </c>
      <c r="O7" s="5" t="str">
        <f t="shared" si="2"/>
        <v>נכשל</v>
      </c>
      <c r="P7" s="5" t="str">
        <f t="shared" si="3"/>
        <v/>
      </c>
      <c r="Q7" s="41" t="str">
        <f t="shared" si="4"/>
        <v>מלגה</v>
      </c>
      <c r="R7" s="58" t="str">
        <f t="shared" si="5"/>
        <v/>
      </c>
      <c r="S7" s="58"/>
      <c r="T7" s="54"/>
    </row>
    <row r="8" spans="1:20">
      <c r="A8" s="87"/>
      <c r="B8" s="29">
        <v>123456789</v>
      </c>
      <c r="C8" s="5" t="s">
        <v>42</v>
      </c>
      <c r="D8" s="5" t="s">
        <v>17</v>
      </c>
      <c r="E8" s="10">
        <v>7563094</v>
      </c>
      <c r="F8" s="13">
        <v>86534</v>
      </c>
      <c r="G8" s="37" t="s">
        <v>55</v>
      </c>
      <c r="H8" s="5">
        <v>91</v>
      </c>
      <c r="I8" s="5">
        <v>79</v>
      </c>
      <c r="J8" s="5">
        <v>85</v>
      </c>
      <c r="K8" s="16">
        <f t="shared" si="0"/>
        <v>85</v>
      </c>
      <c r="L8" s="5">
        <v>100</v>
      </c>
      <c r="M8" s="5">
        <v>50</v>
      </c>
      <c r="N8" s="19">
        <f t="shared" si="1"/>
        <v>76</v>
      </c>
      <c r="O8" s="5" t="str">
        <f t="shared" si="2"/>
        <v>עובר</v>
      </c>
      <c r="P8" s="5" t="str">
        <f t="shared" si="3"/>
        <v/>
      </c>
      <c r="Q8" s="41" t="str">
        <f t="shared" si="4"/>
        <v/>
      </c>
      <c r="R8" s="58" t="str">
        <f t="shared" si="5"/>
        <v>מלגה</v>
      </c>
      <c r="S8" s="58"/>
      <c r="T8" s="54"/>
    </row>
    <row r="9" spans="1:20">
      <c r="A9" s="87"/>
      <c r="B9" s="29">
        <v>298754355</v>
      </c>
      <c r="C9" s="5" t="s">
        <v>6</v>
      </c>
      <c r="D9" s="5" t="s">
        <v>17</v>
      </c>
      <c r="E9" s="10">
        <v>8763456</v>
      </c>
      <c r="F9" s="13">
        <v>83934</v>
      </c>
      <c r="G9" s="37" t="s">
        <v>0</v>
      </c>
      <c r="H9" s="5">
        <v>88</v>
      </c>
      <c r="I9" s="5">
        <v>90</v>
      </c>
      <c r="J9" s="5">
        <v>74</v>
      </c>
      <c r="K9" s="16">
        <f t="shared" si="0"/>
        <v>84</v>
      </c>
      <c r="L9" s="5">
        <v>55</v>
      </c>
      <c r="M9" s="5">
        <v>45</v>
      </c>
      <c r="N9" s="19">
        <f t="shared" si="1"/>
        <v>60</v>
      </c>
      <c r="O9" s="5" t="str">
        <f t="shared" si="2"/>
        <v>עובר</v>
      </c>
      <c r="P9" s="5" t="str">
        <f t="shared" si="3"/>
        <v/>
      </c>
      <c r="Q9" s="41" t="str">
        <f t="shared" si="4"/>
        <v/>
      </c>
      <c r="R9" s="58" t="str">
        <f t="shared" si="5"/>
        <v>מלגה</v>
      </c>
      <c r="S9" s="58"/>
      <c r="T9" s="54"/>
    </row>
    <row r="10" spans="1:20">
      <c r="A10" s="87"/>
      <c r="B10" s="29">
        <v>983687692</v>
      </c>
      <c r="C10" s="5" t="s">
        <v>7</v>
      </c>
      <c r="D10" s="5" t="s">
        <v>18</v>
      </c>
      <c r="E10" s="10">
        <v>6347234</v>
      </c>
      <c r="F10" s="13">
        <v>55235</v>
      </c>
      <c r="G10" s="37" t="s">
        <v>0</v>
      </c>
      <c r="H10" s="5">
        <v>45</v>
      </c>
      <c r="I10" s="5">
        <v>60</v>
      </c>
      <c r="J10" s="5"/>
      <c r="K10" s="16">
        <f t="shared" si="0"/>
        <v>52.5</v>
      </c>
      <c r="L10" s="5">
        <v>99</v>
      </c>
      <c r="M10" s="5">
        <v>94</v>
      </c>
      <c r="N10" s="19">
        <f t="shared" si="1"/>
        <v>78</v>
      </c>
      <c r="O10" s="5" t="str">
        <f t="shared" si="2"/>
        <v>עובר</v>
      </c>
      <c r="P10" s="5" t="str">
        <f t="shared" si="3"/>
        <v/>
      </c>
      <c r="Q10" s="41" t="str">
        <f t="shared" si="4"/>
        <v>מלגה</v>
      </c>
      <c r="R10" s="58" t="str">
        <f t="shared" si="5"/>
        <v>מלגה</v>
      </c>
      <c r="S10" s="58"/>
      <c r="T10" s="54"/>
    </row>
    <row r="11" spans="1:20">
      <c r="A11" s="87"/>
      <c r="B11" s="29">
        <v>947465892</v>
      </c>
      <c r="C11" s="5" t="s">
        <v>19</v>
      </c>
      <c r="D11" s="5" t="s">
        <v>17</v>
      </c>
      <c r="E11" s="10">
        <v>3434324</v>
      </c>
      <c r="F11" s="13">
        <v>41466</v>
      </c>
      <c r="G11" s="37" t="s">
        <v>0</v>
      </c>
      <c r="H11" s="5"/>
      <c r="I11" s="5">
        <v>79</v>
      </c>
      <c r="J11" s="5">
        <v>99</v>
      </c>
      <c r="K11" s="16">
        <f t="shared" si="0"/>
        <v>89</v>
      </c>
      <c r="L11" s="5">
        <v>86</v>
      </c>
      <c r="M11" s="5">
        <v>65</v>
      </c>
      <c r="N11" s="19">
        <f t="shared" si="1"/>
        <v>70</v>
      </c>
      <c r="O11" s="5" t="str">
        <f t="shared" si="2"/>
        <v>עובר</v>
      </c>
      <c r="P11" s="5" t="str">
        <f t="shared" si="3"/>
        <v/>
      </c>
      <c r="Q11" s="41" t="str">
        <f t="shared" si="4"/>
        <v/>
      </c>
      <c r="R11" s="58" t="str">
        <f t="shared" si="5"/>
        <v>מלגה</v>
      </c>
      <c r="S11" s="58"/>
      <c r="T11" s="54"/>
    </row>
    <row r="12" spans="1:20">
      <c r="A12" s="87"/>
      <c r="B12" s="29">
        <v>388923057</v>
      </c>
      <c r="C12" s="5" t="s">
        <v>5</v>
      </c>
      <c r="D12" s="5" t="s">
        <v>18</v>
      </c>
      <c r="E12" s="10">
        <v>8743644</v>
      </c>
      <c r="F12" s="13">
        <v>44141</v>
      </c>
      <c r="G12" s="37" t="s">
        <v>0</v>
      </c>
      <c r="H12" s="5">
        <v>60</v>
      </c>
      <c r="I12" s="5">
        <v>100</v>
      </c>
      <c r="J12" s="5">
        <v>80</v>
      </c>
      <c r="K12" s="16">
        <f t="shared" si="0"/>
        <v>80</v>
      </c>
      <c r="L12" s="5">
        <v>40</v>
      </c>
      <c r="M12" s="5">
        <v>61</v>
      </c>
      <c r="N12" s="19">
        <f t="shared" si="1"/>
        <v>60</v>
      </c>
      <c r="O12" s="5" t="str">
        <f t="shared" si="2"/>
        <v>עובר</v>
      </c>
      <c r="P12" s="5" t="str">
        <f t="shared" si="3"/>
        <v/>
      </c>
      <c r="Q12" s="41" t="str">
        <f t="shared" si="4"/>
        <v>מלגה</v>
      </c>
      <c r="R12" s="58" t="str">
        <f t="shared" si="5"/>
        <v>מלגה</v>
      </c>
      <c r="S12" s="58"/>
      <c r="T12" s="54"/>
    </row>
    <row r="13" spans="1:20" ht="13.5" thickBot="1">
      <c r="A13" s="88"/>
      <c r="B13" s="30">
        <v>244576280</v>
      </c>
      <c r="C13" s="7" t="s">
        <v>19</v>
      </c>
      <c r="D13" s="7" t="s">
        <v>18</v>
      </c>
      <c r="E13" s="11">
        <v>3252524</v>
      </c>
      <c r="F13" s="14">
        <v>44451</v>
      </c>
      <c r="G13" s="38" t="s">
        <v>0</v>
      </c>
      <c r="H13" s="7">
        <v>94</v>
      </c>
      <c r="I13" s="7">
        <v>100</v>
      </c>
      <c r="J13" s="7">
        <v>93</v>
      </c>
      <c r="K13" s="17">
        <f t="shared" si="0"/>
        <v>95.666666666666671</v>
      </c>
      <c r="L13" s="7">
        <v>95</v>
      </c>
      <c r="M13" s="7">
        <v>100</v>
      </c>
      <c r="N13" s="20">
        <f t="shared" si="1"/>
        <v>97</v>
      </c>
      <c r="O13" s="7" t="str">
        <f t="shared" si="2"/>
        <v>מצטיין</v>
      </c>
      <c r="P13" s="7" t="str">
        <f t="shared" si="3"/>
        <v>מלגה</v>
      </c>
      <c r="Q13" s="42" t="str">
        <f t="shared" si="4"/>
        <v>מלגה</v>
      </c>
      <c r="R13" s="57" t="str">
        <f t="shared" si="5"/>
        <v>מלגה</v>
      </c>
      <c r="S13" s="57"/>
      <c r="T13" s="55"/>
    </row>
    <row r="14" spans="1:20" ht="14.25" thickTop="1" thickBot="1">
      <c r="L14"/>
      <c r="M14"/>
    </row>
    <row r="15" spans="1:20" ht="12.75" customHeight="1" thickTop="1">
      <c r="A15" s="89" t="s">
        <v>47</v>
      </c>
      <c r="B15" s="21" t="s">
        <v>20</v>
      </c>
      <c r="C15" s="21"/>
      <c r="D15" s="21"/>
      <c r="E15" s="21"/>
      <c r="F15" s="21"/>
      <c r="G15" s="21"/>
      <c r="H15" s="31">
        <f>AVERAGE(H4:H13)</f>
        <v>77.222222222222229</v>
      </c>
      <c r="I15" s="31">
        <f t="shared" ref="I15:N15" si="6">AVERAGE(I4:I13)</f>
        <v>85.888888888888886</v>
      </c>
      <c r="J15" s="31">
        <f t="shared" si="6"/>
        <v>85.333333333333329</v>
      </c>
      <c r="K15" s="31">
        <f t="shared" si="6"/>
        <v>82.033333333333331</v>
      </c>
      <c r="L15" s="31">
        <f t="shared" si="6"/>
        <v>83.5</v>
      </c>
      <c r="M15" s="31">
        <f t="shared" si="6"/>
        <v>73.444444444444443</v>
      </c>
      <c r="N15" s="32">
        <f t="shared" si="6"/>
        <v>74</v>
      </c>
    </row>
    <row r="16" spans="1:20">
      <c r="A16" s="90"/>
      <c r="B16" s="5" t="s">
        <v>21</v>
      </c>
      <c r="C16" s="5"/>
      <c r="D16" s="5"/>
      <c r="E16" s="5"/>
      <c r="F16" s="5"/>
      <c r="G16" s="5"/>
      <c r="H16" s="16">
        <f>MEDIAN(H4:H13)</f>
        <v>81</v>
      </c>
      <c r="I16" s="16">
        <f t="shared" ref="I16:N16" si="7">MEDIAN(I4:I13)</f>
        <v>86</v>
      </c>
      <c r="J16" s="16">
        <f t="shared" si="7"/>
        <v>85</v>
      </c>
      <c r="K16" s="16">
        <f t="shared" si="7"/>
        <v>83.75</v>
      </c>
      <c r="L16" s="16">
        <f t="shared" si="7"/>
        <v>90</v>
      </c>
      <c r="M16" s="16">
        <f t="shared" si="7"/>
        <v>80</v>
      </c>
      <c r="N16" s="24">
        <f t="shared" si="7"/>
        <v>77</v>
      </c>
    </row>
    <row r="17" spans="1:14">
      <c r="A17" s="90"/>
      <c r="B17" s="5" t="s">
        <v>22</v>
      </c>
      <c r="C17" s="5"/>
      <c r="D17" s="5"/>
      <c r="E17" s="5"/>
      <c r="F17" s="5"/>
      <c r="G17" s="5"/>
      <c r="H17" s="16" t="e">
        <f>MODE(H4:H13)</f>
        <v>#N/A</v>
      </c>
      <c r="I17" s="16">
        <f t="shared" ref="I17:N17" si="8">MODE(I4:I13)</f>
        <v>79</v>
      </c>
      <c r="J17" s="16">
        <f t="shared" si="8"/>
        <v>99</v>
      </c>
      <c r="K17" s="16" t="e">
        <f t="shared" si="8"/>
        <v>#N/A</v>
      </c>
      <c r="L17" s="16">
        <f t="shared" si="8"/>
        <v>99</v>
      </c>
      <c r="M17" s="16" t="e">
        <f t="shared" si="8"/>
        <v>#N/A</v>
      </c>
      <c r="N17" s="24">
        <f t="shared" si="8"/>
        <v>60</v>
      </c>
    </row>
    <row r="18" spans="1:14">
      <c r="A18" s="90"/>
      <c r="B18" s="5" t="s">
        <v>23</v>
      </c>
      <c r="C18" s="5"/>
      <c r="D18" s="5"/>
      <c r="E18" s="5"/>
      <c r="F18" s="5"/>
      <c r="G18" s="5"/>
      <c r="H18" s="16">
        <f>MAX(H4:H13)</f>
        <v>94</v>
      </c>
      <c r="I18" s="16">
        <f t="shared" ref="I18:N18" si="9">MAX(I4:I13)</f>
        <v>100</v>
      </c>
      <c r="J18" s="16">
        <f t="shared" si="9"/>
        <v>99</v>
      </c>
      <c r="K18" s="16">
        <f t="shared" si="9"/>
        <v>95.666666666666671</v>
      </c>
      <c r="L18" s="16">
        <f t="shared" si="9"/>
        <v>100</v>
      </c>
      <c r="M18" s="16">
        <f t="shared" si="9"/>
        <v>100</v>
      </c>
      <c r="N18" s="24">
        <f t="shared" si="9"/>
        <v>97</v>
      </c>
    </row>
    <row r="19" spans="1:14">
      <c r="A19" s="90"/>
      <c r="B19" s="5" t="s">
        <v>24</v>
      </c>
      <c r="C19" s="5"/>
      <c r="D19" s="5"/>
      <c r="E19" s="5"/>
      <c r="F19" s="5"/>
      <c r="G19" s="5"/>
      <c r="H19" s="16">
        <f>MIN(H4:H13)</f>
        <v>45</v>
      </c>
      <c r="I19" s="16">
        <f t="shared" ref="I19:N19" si="10">MIN(I4:I13)</f>
        <v>60</v>
      </c>
      <c r="J19" s="16">
        <f t="shared" si="10"/>
        <v>69</v>
      </c>
      <c r="K19" s="16">
        <f t="shared" si="10"/>
        <v>52.5</v>
      </c>
      <c r="L19" s="16">
        <f t="shared" si="10"/>
        <v>40</v>
      </c>
      <c r="M19" s="16">
        <f t="shared" si="10"/>
        <v>45</v>
      </c>
      <c r="N19" s="24">
        <f t="shared" si="10"/>
        <v>44</v>
      </c>
    </row>
    <row r="20" spans="1:14">
      <c r="A20" s="90"/>
      <c r="B20" s="5" t="s">
        <v>43</v>
      </c>
      <c r="C20" s="5"/>
      <c r="D20" s="5"/>
      <c r="E20" s="5"/>
      <c r="F20" s="5"/>
      <c r="G20" s="5"/>
      <c r="H20" s="16">
        <f>STDEV(H4:H13)</f>
        <v>16.536155673083279</v>
      </c>
      <c r="I20" s="16">
        <f t="shared" ref="I20:N20" si="11">STDEV(I4:I13)</f>
        <v>13.166666666666675</v>
      </c>
      <c r="J20" s="16">
        <f t="shared" si="11"/>
        <v>10.428326807307105</v>
      </c>
      <c r="K20" s="16">
        <f t="shared" si="11"/>
        <v>11.67534069082849</v>
      </c>
      <c r="L20" s="16">
        <f t="shared" si="11"/>
        <v>20.23885152648517</v>
      </c>
      <c r="M20" s="16">
        <f t="shared" si="11"/>
        <v>19.190564811327921</v>
      </c>
      <c r="N20" s="24">
        <f t="shared" si="11"/>
        <v>15.818414023606231</v>
      </c>
    </row>
    <row r="21" spans="1:14">
      <c r="A21" s="90"/>
      <c r="B21" s="5" t="s">
        <v>44</v>
      </c>
      <c r="C21" s="5"/>
      <c r="D21" s="5"/>
      <c r="E21" s="5"/>
      <c r="F21" s="5"/>
      <c r="G21" s="5"/>
      <c r="H21" s="16">
        <f>VAR(H4:H13)</f>
        <v>273.44444444444434</v>
      </c>
      <c r="I21" s="16">
        <f t="shared" ref="I21:N21" si="12">VAR(I4:I13)</f>
        <v>173.36111111111131</v>
      </c>
      <c r="J21" s="16">
        <f t="shared" si="12"/>
        <v>108.75</v>
      </c>
      <c r="K21" s="16">
        <f t="shared" si="12"/>
        <v>136.31358024691548</v>
      </c>
      <c r="L21" s="16">
        <f t="shared" si="12"/>
        <v>409.61111111111109</v>
      </c>
      <c r="M21" s="16">
        <f t="shared" si="12"/>
        <v>368.27777777777737</v>
      </c>
      <c r="N21" s="24">
        <f t="shared" si="12"/>
        <v>250.22222222222223</v>
      </c>
    </row>
    <row r="22" spans="1:14">
      <c r="A22" s="90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90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4">COUNTIF(I4:I13,"&lt;"&amp;$C$41)</f>
        <v>0</v>
      </c>
      <c r="J23" s="5">
        <f t="shared" si="14"/>
        <v>0</v>
      </c>
      <c r="K23" s="5">
        <f t="shared" si="14"/>
        <v>1</v>
      </c>
      <c r="L23" s="5">
        <f t="shared" si="14"/>
        <v>2</v>
      </c>
      <c r="M23" s="5">
        <f t="shared" si="14"/>
        <v>2</v>
      </c>
      <c r="N23" s="23">
        <f t="shared" si="14"/>
        <v>1</v>
      </c>
    </row>
    <row r="24" spans="1:14">
      <c r="A24" s="90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5">COUNTIFS(I4:I13,"&gt;="&amp;$C$41,I4:I13,"&lt;"&amp;$C$42)</f>
        <v>4</v>
      </c>
      <c r="J24" s="5">
        <f t="shared" si="15"/>
        <v>4</v>
      </c>
      <c r="K24" s="5">
        <f t="shared" si="15"/>
        <v>5</v>
      </c>
      <c r="L24" s="5">
        <f t="shared" si="15"/>
        <v>1</v>
      </c>
      <c r="M24" s="5">
        <f t="shared" si="15"/>
        <v>4</v>
      </c>
      <c r="N24" s="23">
        <f t="shared" si="15"/>
        <v>6</v>
      </c>
    </row>
    <row r="25" spans="1:14">
      <c r="A25" s="90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6">COUNTIF(I4:I13,"&gt;="&amp;$C$42)</f>
        <v>5</v>
      </c>
      <c r="J25" s="5">
        <f t="shared" si="16"/>
        <v>5</v>
      </c>
      <c r="K25" s="5">
        <f t="shared" si="16"/>
        <v>4</v>
      </c>
      <c r="L25" s="5">
        <f t="shared" si="16"/>
        <v>7</v>
      </c>
      <c r="M25" s="5">
        <f t="shared" si="16"/>
        <v>3</v>
      </c>
      <c r="N25" s="23">
        <f t="shared" si="16"/>
        <v>3</v>
      </c>
    </row>
    <row r="26" spans="1:14">
      <c r="A26" s="90"/>
      <c r="B26" s="37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7">COUNTIFS($D$4:$D$13,$C$45,I4:I13,"&gt;="&amp;$C$42)</f>
        <v>2</v>
      </c>
      <c r="J26" s="5">
        <f t="shared" si="17"/>
        <v>3</v>
      </c>
      <c r="K26" s="5">
        <f t="shared" si="17"/>
        <v>3</v>
      </c>
      <c r="L26" s="5">
        <f t="shared" si="17"/>
        <v>3</v>
      </c>
      <c r="M26" s="5">
        <f t="shared" si="17"/>
        <v>0</v>
      </c>
      <c r="N26" s="6">
        <f t="shared" si="17"/>
        <v>1</v>
      </c>
    </row>
    <row r="27" spans="1:14">
      <c r="A27" s="91"/>
      <c r="B27" s="43"/>
      <c r="C27" s="5" t="str">
        <f>B46</f>
        <v>סטודנטיות</v>
      </c>
      <c r="D27" s="43"/>
      <c r="E27" s="43"/>
      <c r="F27" s="43"/>
      <c r="G27" s="43"/>
      <c r="H27" s="43">
        <f>COUNTIFS($D$4:$D$13,$C$46,H4:H13,$E$42)</f>
        <v>1</v>
      </c>
      <c r="I27" s="43">
        <f t="shared" ref="I27:N27" si="18">COUNTIFS($D$4:$D$13,$C$46,I4:I13,$E$42)</f>
        <v>3</v>
      </c>
      <c r="J27" s="43">
        <f t="shared" si="18"/>
        <v>2</v>
      </c>
      <c r="K27" s="43">
        <f t="shared" si="18"/>
        <v>1</v>
      </c>
      <c r="L27" s="43">
        <f t="shared" si="18"/>
        <v>4</v>
      </c>
      <c r="M27" s="43">
        <f t="shared" si="18"/>
        <v>3</v>
      </c>
      <c r="N27" s="44">
        <f t="shared" si="18"/>
        <v>2</v>
      </c>
    </row>
    <row r="28" spans="1:14">
      <c r="A28" s="91"/>
      <c r="B28" s="43" t="s">
        <v>38</v>
      </c>
      <c r="C28" s="43"/>
      <c r="D28" s="43">
        <f>COUNTA(C4:C13)</f>
        <v>10</v>
      </c>
      <c r="E28" s="43"/>
      <c r="F28" s="43"/>
      <c r="G28" s="47" t="s">
        <v>63</v>
      </c>
      <c r="H28" s="48">
        <f>AVERAGEIFS(H4:H13,H4:H13,"&gt;="&amp;$C$41,H4:H13,"&lt;"&amp;$C$42)</f>
        <v>72</v>
      </c>
      <c r="I28" s="48">
        <f t="shared" ref="I28:N28" si="19">AVERAGEIFS(I4:I13,I4:I13,"&gt;="&amp;$C$41,I4:I13,"&lt;"&amp;$C$42)</f>
        <v>74.5</v>
      </c>
      <c r="J28" s="48">
        <f t="shared" si="19"/>
        <v>76.25</v>
      </c>
      <c r="K28" s="48">
        <f t="shared" si="19"/>
        <v>81.36666666666666</v>
      </c>
      <c r="L28" s="48">
        <f t="shared" si="19"/>
        <v>81</v>
      </c>
      <c r="M28" s="48">
        <f t="shared" si="19"/>
        <v>71.75</v>
      </c>
      <c r="N28" s="49">
        <f t="shared" si="19"/>
        <v>70.833333333333329</v>
      </c>
    </row>
    <row r="29" spans="1:14">
      <c r="A29" s="91"/>
      <c r="B29" s="37" t="s">
        <v>60</v>
      </c>
      <c r="C29" s="43" t="str">
        <f>B45</f>
        <v>סטודנטים</v>
      </c>
      <c r="D29" s="43">
        <f>COUNTIF(D4:D13,C45)</f>
        <v>4</v>
      </c>
      <c r="E29" s="43"/>
      <c r="F29" s="43"/>
      <c r="G29" s="46" t="s">
        <v>62</v>
      </c>
      <c r="H29" s="48">
        <f>AVERAGEIF($D$4:$D$13,$C45,H$4:H$13)</f>
        <v>89.333333333333329</v>
      </c>
      <c r="I29" s="48">
        <f t="shared" ref="I29:N29" si="20">AVERAGEIF($D$4:$D$13,$C45,I$4:I$13)</f>
        <v>83.5</v>
      </c>
      <c r="J29" s="48">
        <f t="shared" si="20"/>
        <v>89.25</v>
      </c>
      <c r="K29" s="48">
        <f t="shared" si="20"/>
        <v>87.333333333333329</v>
      </c>
      <c r="L29" s="48">
        <f t="shared" si="20"/>
        <v>85</v>
      </c>
      <c r="M29" s="48">
        <f t="shared" si="20"/>
        <v>60</v>
      </c>
      <c r="N29" s="49">
        <f t="shared" si="20"/>
        <v>73.75</v>
      </c>
    </row>
    <row r="30" spans="1:14" ht="13.5" thickBot="1">
      <c r="A30" s="92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0">
        <f t="shared" ref="H30:N30" si="21">AVERAGEIF($D$4:$D$13,$C46,H$4:H$13)</f>
        <v>71.166666666666671</v>
      </c>
      <c r="I30" s="52">
        <f t="shared" si="21"/>
        <v>87.8</v>
      </c>
      <c r="J30" s="50">
        <f t="shared" si="21"/>
        <v>82.2</v>
      </c>
      <c r="K30" s="50">
        <f t="shared" si="21"/>
        <v>78.5</v>
      </c>
      <c r="L30" s="50">
        <f t="shared" si="21"/>
        <v>82.5</v>
      </c>
      <c r="M30" s="50">
        <f t="shared" si="21"/>
        <v>84.2</v>
      </c>
      <c r="N30" s="51">
        <f t="shared" si="21"/>
        <v>74.166666666666671</v>
      </c>
    </row>
    <row r="31" spans="1:14" ht="14.25" thickTop="1" thickBot="1">
      <c r="L31"/>
      <c r="M31"/>
    </row>
    <row r="32" spans="1:14" ht="13.5" thickTop="1">
      <c r="A32" s="80" t="s">
        <v>48</v>
      </c>
      <c r="B32" s="21" t="s">
        <v>26</v>
      </c>
      <c r="C32" s="33">
        <v>0.1</v>
      </c>
      <c r="L32"/>
      <c r="M32"/>
    </row>
    <row r="33" spans="1:14">
      <c r="A33" s="81"/>
      <c r="B33" s="5" t="s">
        <v>27</v>
      </c>
      <c r="C33" s="34">
        <v>0.1</v>
      </c>
      <c r="L33"/>
      <c r="M33"/>
    </row>
    <row r="34" spans="1:14">
      <c r="A34" s="81"/>
      <c r="B34" s="5" t="s">
        <v>28</v>
      </c>
      <c r="C34" s="34">
        <v>0.1</v>
      </c>
      <c r="L34"/>
      <c r="M34"/>
    </row>
    <row r="35" spans="1:14">
      <c r="A35" s="81"/>
      <c r="B35" s="5" t="s">
        <v>29</v>
      </c>
      <c r="C35" s="34">
        <v>0.3</v>
      </c>
      <c r="L35"/>
      <c r="M35"/>
    </row>
    <row r="36" spans="1:14">
      <c r="A36" s="81"/>
      <c r="B36" s="5" t="s">
        <v>30</v>
      </c>
      <c r="C36" s="34">
        <v>0.4</v>
      </c>
      <c r="L36"/>
      <c r="M36"/>
    </row>
    <row r="37" spans="1:14" ht="13.5" thickBot="1">
      <c r="A37" s="82"/>
      <c r="B37" s="7" t="s">
        <v>31</v>
      </c>
      <c r="C37" s="35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80" t="s">
        <v>49</v>
      </c>
      <c r="B39" s="21"/>
      <c r="C39" s="21" t="s">
        <v>32</v>
      </c>
      <c r="D39" s="22" t="s">
        <v>33</v>
      </c>
      <c r="L39"/>
      <c r="M39"/>
      <c r="N39" s="1"/>
    </row>
    <row r="40" spans="1:14">
      <c r="A40" s="81"/>
      <c r="B40" s="5" t="s">
        <v>34</v>
      </c>
      <c r="C40" s="16">
        <v>0</v>
      </c>
      <c r="D40" s="24">
        <v>59.49</v>
      </c>
      <c r="E40" s="3"/>
      <c r="F40" s="3"/>
      <c r="G40" s="3"/>
      <c r="L40"/>
      <c r="M40"/>
      <c r="N40" s="2"/>
    </row>
    <row r="41" spans="1:14">
      <c r="A41" s="81"/>
      <c r="B41" s="5" t="s">
        <v>35</v>
      </c>
      <c r="C41" s="16">
        <v>59.5</v>
      </c>
      <c r="D41" s="24">
        <v>84.49</v>
      </c>
      <c r="E41" s="3"/>
      <c r="F41" s="3"/>
      <c r="G41" s="3"/>
      <c r="L41"/>
      <c r="M41"/>
      <c r="N41" s="1"/>
    </row>
    <row r="42" spans="1:14" ht="13.5" thickBot="1">
      <c r="A42" s="82"/>
      <c r="B42" s="7" t="s">
        <v>36</v>
      </c>
      <c r="C42" s="17">
        <f>84.5</f>
        <v>84.5</v>
      </c>
      <c r="D42" s="25">
        <v>100</v>
      </c>
      <c r="E42" s="45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80" t="s">
        <v>58</v>
      </c>
      <c r="B44" s="83" t="s">
        <v>8</v>
      </c>
      <c r="C44" s="84"/>
    </row>
    <row r="45" spans="1:14">
      <c r="A45" s="81"/>
      <c r="B45" s="5" t="s">
        <v>56</v>
      </c>
      <c r="C45" s="24" t="s">
        <v>17</v>
      </c>
    </row>
    <row r="46" spans="1:14" ht="13.5" thickBot="1">
      <c r="A46" s="82"/>
      <c r="B46" s="7" t="s">
        <v>57</v>
      </c>
      <c r="C46" s="25" t="s">
        <v>18</v>
      </c>
    </row>
    <row r="47" spans="1:14" ht="13.5" thickTop="1"/>
  </sheetData>
  <mergeCells count="7">
    <mergeCell ref="A44:A46"/>
    <mergeCell ref="B44:C44"/>
    <mergeCell ref="A1:R1"/>
    <mergeCell ref="A3:A13"/>
    <mergeCell ref="A15:A30"/>
    <mergeCell ref="A32:A37"/>
    <mergeCell ref="A39:A42"/>
  </mergeCells>
  <conditionalFormatting sqref="B4:B13">
    <cfRule type="duplicateValues" dxfId="53" priority="15"/>
  </conditionalFormatting>
  <conditionalFormatting sqref="N4:N13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3Symbols2">
        <cfvo type="percent" val="0"/>
        <cfvo type="percent" val="33"/>
        <cfvo type="percent" val="67"/>
      </iconSet>
    </cfRule>
    <cfRule type="dataBar" priority="14">
      <dataBar>
        <cfvo type="min"/>
        <cfvo type="max"/>
        <color rgb="FF008AEF"/>
      </dataBar>
    </cfRule>
  </conditionalFormatting>
  <conditionalFormatting sqref="O4:O13">
    <cfRule type="cellIs" dxfId="52" priority="9" operator="equal">
      <formula>$B$40</formula>
    </cfRule>
    <cfRule type="cellIs" dxfId="51" priority="10" operator="equal">
      <formula>$B$41</formula>
    </cfRule>
    <cfRule type="cellIs" dxfId="50" priority="11" operator="equal">
      <formula>$B$42</formula>
    </cfRule>
  </conditionalFormatting>
  <conditionalFormatting sqref="B4:Q13">
    <cfRule type="expression" dxfId="49" priority="8">
      <formula>$O4=$B$40</formula>
    </cfRule>
  </conditionalFormatting>
  <conditionalFormatting sqref="B8">
    <cfRule type="duplicateValues" dxfId="48" priority="7"/>
  </conditionalFormatting>
  <conditionalFormatting sqref="B8">
    <cfRule type="expression" dxfId="47" priority="6">
      <formula>$O8=$B$40</formula>
    </cfRule>
  </conditionalFormatting>
  <conditionalFormatting sqref="B8">
    <cfRule type="duplicateValues" dxfId="46" priority="5"/>
  </conditionalFormatting>
  <conditionalFormatting sqref="B8">
    <cfRule type="expression" dxfId="45" priority="4">
      <formula>$O8=$B$40</formula>
    </cfRule>
  </conditionalFormatting>
  <conditionalFormatting sqref="S4:S13">
    <cfRule type="expression" dxfId="44" priority="3">
      <formula>$O4=$B$40</formula>
    </cfRule>
  </conditionalFormatting>
  <conditionalFormatting sqref="T4:T13">
    <cfRule type="expression" dxfId="43" priority="2">
      <formula>$O4=$B$40</formula>
    </cfRule>
  </conditionalFormatting>
  <conditionalFormatting sqref="R4:R13">
    <cfRule type="expression" dxfId="42" priority="1">
      <formula>$O4=$B$40</formula>
    </cfRule>
  </conditionalFormatting>
  <dataValidations disablePrompts="1"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  <dataValidation type="whole" allowBlank="1" showInputMessage="1" showErrorMessage="1" sqref="H4:J13 L4:M13">
      <formula1>$C$40</formula1>
      <formula2>$D$42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4.7109375" customWidth="1"/>
    <col min="2" max="2" width="14.7109375" bestFit="1" customWidth="1"/>
    <col min="3" max="3" width="8.42578125" bestFit="1" customWidth="1"/>
    <col min="4" max="4" width="6.5703125" bestFit="1" customWidth="1"/>
    <col min="5" max="5" width="8.5703125" bestFit="1" customWidth="1"/>
    <col min="6" max="6" width="8.42578125" bestFit="1" customWidth="1"/>
    <col min="7" max="7" width="8.140625" bestFit="1" customWidth="1"/>
    <col min="8" max="10" width="6.5703125" customWidth="1"/>
    <col min="11" max="11" width="8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20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ht="13.5" thickBot="1"/>
    <row r="3" spans="1:20" s="4" customFormat="1" ht="27" thickTop="1" thickBot="1">
      <c r="A3" s="86" t="s">
        <v>46</v>
      </c>
      <c r="B3" s="27" t="s">
        <v>41</v>
      </c>
      <c r="C3" s="26" t="s">
        <v>1</v>
      </c>
      <c r="D3" s="26" t="s">
        <v>8</v>
      </c>
      <c r="E3" s="26" t="s">
        <v>51</v>
      </c>
      <c r="F3" s="26" t="s">
        <v>50</v>
      </c>
      <c r="G3" s="26" t="s">
        <v>54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39</v>
      </c>
      <c r="Q3" s="39" t="s">
        <v>40</v>
      </c>
      <c r="R3" s="61" t="s">
        <v>59</v>
      </c>
      <c r="S3" s="61" t="s">
        <v>65</v>
      </c>
      <c r="T3" s="60" t="s">
        <v>64</v>
      </c>
    </row>
    <row r="4" spans="1:20">
      <c r="A4" s="87"/>
      <c r="B4" s="28">
        <v>123456789</v>
      </c>
      <c r="C4" s="8" t="s">
        <v>2</v>
      </c>
      <c r="D4" s="8" t="s">
        <v>17</v>
      </c>
      <c r="E4" s="9">
        <v>9877665</v>
      </c>
      <c r="F4" s="12">
        <v>123</v>
      </c>
      <c r="G4" s="36" t="s">
        <v>55</v>
      </c>
      <c r="H4" s="8">
        <v>89</v>
      </c>
      <c r="I4" s="8">
        <v>86</v>
      </c>
      <c r="J4" s="8">
        <v>99</v>
      </c>
      <c r="K4" s="15">
        <f>AVERAGE(H4:J4)</f>
        <v>91.333333333333329</v>
      </c>
      <c r="L4" s="8">
        <v>99</v>
      </c>
      <c r="M4" s="8">
        <v>80</v>
      </c>
      <c r="N4" s="18">
        <f>ROUND(H4*$C$32+I4*$C$33+J4*$C$34+L4*$C$35+M4*$C$36,0)</f>
        <v>89</v>
      </c>
      <c r="O4" s="8" t="str">
        <f>IF(N4&lt;$C$41,$B$40,IF(N4&lt;$C$42,$B$41,$B$42))</f>
        <v>מצטיין</v>
      </c>
      <c r="P4" s="8" t="str">
        <f>IF(AND(D4=$C$46,O4=$B$42),"מלגה","")</f>
        <v/>
      </c>
      <c r="Q4" s="40" t="str">
        <f>IF(OR(D4=$C$46,O4=$B$42),"מלגה","")</f>
        <v>מלגה</v>
      </c>
      <c r="R4" s="59" t="str">
        <f>IF(NOT(N4&lt;$C$41),"מלגה","")</f>
        <v>מלגה</v>
      </c>
      <c r="S4" s="59">
        <f>RANK(N4,$N$4:$N$13,0)</f>
        <v>2</v>
      </c>
      <c r="T4" s="62">
        <f>PERCENTRANK($N$4:$N$13,N4)</f>
        <v>0.88800000000000001</v>
      </c>
    </row>
    <row r="5" spans="1:20">
      <c r="A5" s="87"/>
      <c r="B5" s="29">
        <v>193878400</v>
      </c>
      <c r="C5" s="5" t="s">
        <v>3</v>
      </c>
      <c r="D5" s="5" t="s">
        <v>18</v>
      </c>
      <c r="E5" s="10">
        <v>9876544</v>
      </c>
      <c r="F5" s="13">
        <v>70000</v>
      </c>
      <c r="G5" s="37" t="s">
        <v>55</v>
      </c>
      <c r="H5" s="5">
        <v>81</v>
      </c>
      <c r="I5" s="5">
        <v>80</v>
      </c>
      <c r="J5" s="5">
        <v>82</v>
      </c>
      <c r="K5" s="16">
        <f t="shared" ref="K5:K13" si="0">AVERAGE(H5:J5)</f>
        <v>81</v>
      </c>
      <c r="L5" s="5">
        <v>81</v>
      </c>
      <c r="M5" s="5">
        <v>81</v>
      </c>
      <c r="N5" s="19">
        <f t="shared" ref="N5:N13" si="1">ROUND(H5*$C$32+I5*$C$33+J5*$C$34+L5*$C$35+M5*$C$36,0)</f>
        <v>81</v>
      </c>
      <c r="O5" s="5" t="str">
        <f t="shared" ref="O5:O13" si="2">IF(N5&lt;$C$41,$B$40,IF(N5&lt;$C$42,$B$41,$B$42))</f>
        <v>עובר</v>
      </c>
      <c r="P5" s="5" t="str">
        <f t="shared" ref="P5:P13" si="3">IF(AND(D5=$C$46,O5=$B$42),"מלגה","")</f>
        <v/>
      </c>
      <c r="Q5" s="41" t="str">
        <f t="shared" ref="Q5:Q13" si="4">IF(OR(D5=$C$46,O5=$B$42),"מלגה","")</f>
        <v>מלגה</v>
      </c>
      <c r="R5" s="58" t="str">
        <f t="shared" ref="R5:R13" si="5">IF(NOT(N5&lt;$C$41),"מלגה","")</f>
        <v>מלגה</v>
      </c>
      <c r="S5" s="58">
        <f t="shared" ref="S5:S13" si="6">RANK(N5,$N$4:$N$13,0)</f>
        <v>4</v>
      </c>
      <c r="T5" s="63">
        <f t="shared" ref="T5:T13" si="7">PERCENTRANK($N$4:$N$13,N5)</f>
        <v>0.66600000000000004</v>
      </c>
    </row>
    <row r="6" spans="1:20">
      <c r="A6" s="87"/>
      <c r="B6" s="29">
        <v>658370843</v>
      </c>
      <c r="C6" s="5" t="s">
        <v>4</v>
      </c>
      <c r="D6" s="5" t="s">
        <v>18</v>
      </c>
      <c r="E6" s="10">
        <v>2118758</v>
      </c>
      <c r="F6" s="13">
        <v>55326</v>
      </c>
      <c r="G6" s="37" t="s">
        <v>55</v>
      </c>
      <c r="H6" s="5">
        <v>67</v>
      </c>
      <c r="I6" s="5">
        <v>99</v>
      </c>
      <c r="J6" s="5">
        <v>69</v>
      </c>
      <c r="K6" s="16">
        <f t="shared" si="0"/>
        <v>78.333333333333329</v>
      </c>
      <c r="L6" s="5">
        <v>90</v>
      </c>
      <c r="M6" s="5">
        <v>85</v>
      </c>
      <c r="N6" s="19">
        <f t="shared" si="1"/>
        <v>85</v>
      </c>
      <c r="O6" s="5" t="str">
        <f t="shared" si="2"/>
        <v>מצטיין</v>
      </c>
      <c r="P6" s="5" t="str">
        <f t="shared" si="3"/>
        <v>מלגה</v>
      </c>
      <c r="Q6" s="41" t="str">
        <f t="shared" si="4"/>
        <v>מלגה</v>
      </c>
      <c r="R6" s="58" t="str">
        <f t="shared" si="5"/>
        <v>מלגה</v>
      </c>
      <c r="S6" s="58">
        <f t="shared" si="6"/>
        <v>3</v>
      </c>
      <c r="T6" s="63">
        <f t="shared" si="7"/>
        <v>0.77700000000000002</v>
      </c>
    </row>
    <row r="7" spans="1:20">
      <c r="A7" s="87"/>
      <c r="B7" s="29">
        <v>830998987</v>
      </c>
      <c r="C7" s="5" t="s">
        <v>5</v>
      </c>
      <c r="D7" s="5" t="s">
        <v>18</v>
      </c>
      <c r="E7" s="10">
        <v>3527439</v>
      </c>
      <c r="F7" s="13">
        <v>56324</v>
      </c>
      <c r="G7" s="37" t="s">
        <v>55</v>
      </c>
      <c r="H7" s="5">
        <v>80</v>
      </c>
      <c r="I7" s="5"/>
      <c r="J7" s="5">
        <v>87</v>
      </c>
      <c r="K7" s="16">
        <f t="shared" si="0"/>
        <v>83.5</v>
      </c>
      <c r="L7" s="5">
        <v>90</v>
      </c>
      <c r="M7" s="5"/>
      <c r="N7" s="19">
        <f t="shared" si="1"/>
        <v>44</v>
      </c>
      <c r="O7" s="5" t="str">
        <f t="shared" si="2"/>
        <v>נכשל</v>
      </c>
      <c r="P7" s="5" t="str">
        <f t="shared" si="3"/>
        <v/>
      </c>
      <c r="Q7" s="41" t="str">
        <f t="shared" si="4"/>
        <v>מלגה</v>
      </c>
      <c r="R7" s="58" t="str">
        <f t="shared" si="5"/>
        <v/>
      </c>
      <c r="S7" s="58">
        <f t="shared" si="6"/>
        <v>10</v>
      </c>
      <c r="T7" s="63">
        <f t="shared" si="7"/>
        <v>0</v>
      </c>
    </row>
    <row r="8" spans="1:20">
      <c r="A8" s="87"/>
      <c r="B8" s="29">
        <v>123456789</v>
      </c>
      <c r="C8" s="5" t="s">
        <v>42</v>
      </c>
      <c r="D8" s="5" t="s">
        <v>17</v>
      </c>
      <c r="E8" s="10">
        <v>7563094</v>
      </c>
      <c r="F8" s="13">
        <v>86534</v>
      </c>
      <c r="G8" s="37" t="s">
        <v>55</v>
      </c>
      <c r="H8" s="5">
        <v>91</v>
      </c>
      <c r="I8" s="5">
        <v>79</v>
      </c>
      <c r="J8" s="5">
        <v>85</v>
      </c>
      <c r="K8" s="16">
        <f t="shared" si="0"/>
        <v>85</v>
      </c>
      <c r="L8" s="5">
        <v>100</v>
      </c>
      <c r="M8" s="5">
        <v>50</v>
      </c>
      <c r="N8" s="19">
        <f t="shared" si="1"/>
        <v>76</v>
      </c>
      <c r="O8" s="5" t="str">
        <f t="shared" si="2"/>
        <v>עובר</v>
      </c>
      <c r="P8" s="5" t="str">
        <f t="shared" si="3"/>
        <v/>
      </c>
      <c r="Q8" s="41" t="str">
        <f t="shared" si="4"/>
        <v/>
      </c>
      <c r="R8" s="58" t="str">
        <f t="shared" si="5"/>
        <v>מלגה</v>
      </c>
      <c r="S8" s="58">
        <f t="shared" si="6"/>
        <v>6</v>
      </c>
      <c r="T8" s="63">
        <f t="shared" si="7"/>
        <v>0.44400000000000001</v>
      </c>
    </row>
    <row r="9" spans="1:20">
      <c r="A9" s="87"/>
      <c r="B9" s="29">
        <v>298754355</v>
      </c>
      <c r="C9" s="5" t="s">
        <v>6</v>
      </c>
      <c r="D9" s="5" t="s">
        <v>17</v>
      </c>
      <c r="E9" s="10">
        <v>8763456</v>
      </c>
      <c r="F9" s="13">
        <v>83934</v>
      </c>
      <c r="G9" s="37" t="s">
        <v>0</v>
      </c>
      <c r="H9" s="5">
        <v>88</v>
      </c>
      <c r="I9" s="5">
        <v>90</v>
      </c>
      <c r="J9" s="5">
        <v>74</v>
      </c>
      <c r="K9" s="16">
        <f t="shared" si="0"/>
        <v>84</v>
      </c>
      <c r="L9" s="5">
        <v>55</v>
      </c>
      <c r="M9" s="5">
        <v>45</v>
      </c>
      <c r="N9" s="19">
        <f t="shared" si="1"/>
        <v>60</v>
      </c>
      <c r="O9" s="5" t="str">
        <f t="shared" si="2"/>
        <v>עובר</v>
      </c>
      <c r="P9" s="5" t="str">
        <f t="shared" si="3"/>
        <v/>
      </c>
      <c r="Q9" s="41" t="str">
        <f t="shared" si="4"/>
        <v/>
      </c>
      <c r="R9" s="58" t="str">
        <f t="shared" si="5"/>
        <v>מלגה</v>
      </c>
      <c r="S9" s="58">
        <f t="shared" si="6"/>
        <v>8</v>
      </c>
      <c r="T9" s="63">
        <f t="shared" si="7"/>
        <v>0.111</v>
      </c>
    </row>
    <row r="10" spans="1:20">
      <c r="A10" s="87"/>
      <c r="B10" s="29">
        <v>983687692</v>
      </c>
      <c r="C10" s="5" t="s">
        <v>7</v>
      </c>
      <c r="D10" s="5" t="s">
        <v>18</v>
      </c>
      <c r="E10" s="10">
        <v>6347234</v>
      </c>
      <c r="F10" s="13">
        <v>55235</v>
      </c>
      <c r="G10" s="37" t="s">
        <v>0</v>
      </c>
      <c r="H10" s="5">
        <v>45</v>
      </c>
      <c r="I10" s="5">
        <v>60</v>
      </c>
      <c r="J10" s="5"/>
      <c r="K10" s="16">
        <f t="shared" si="0"/>
        <v>52.5</v>
      </c>
      <c r="L10" s="5">
        <v>99</v>
      </c>
      <c r="M10" s="5">
        <v>94</v>
      </c>
      <c r="N10" s="19">
        <f t="shared" si="1"/>
        <v>78</v>
      </c>
      <c r="O10" s="5" t="str">
        <f t="shared" si="2"/>
        <v>עובר</v>
      </c>
      <c r="P10" s="5" t="str">
        <f t="shared" si="3"/>
        <v/>
      </c>
      <c r="Q10" s="41" t="str">
        <f t="shared" si="4"/>
        <v>מלגה</v>
      </c>
      <c r="R10" s="58" t="str">
        <f t="shared" si="5"/>
        <v>מלגה</v>
      </c>
      <c r="S10" s="58">
        <f t="shared" si="6"/>
        <v>5</v>
      </c>
      <c r="T10" s="63">
        <f t="shared" si="7"/>
        <v>0.55500000000000005</v>
      </c>
    </row>
    <row r="11" spans="1:20">
      <c r="A11" s="87"/>
      <c r="B11" s="29">
        <v>947465892</v>
      </c>
      <c r="C11" s="5" t="s">
        <v>19</v>
      </c>
      <c r="D11" s="5" t="s">
        <v>17</v>
      </c>
      <c r="E11" s="10">
        <v>3434324</v>
      </c>
      <c r="F11" s="13">
        <v>41466</v>
      </c>
      <c r="G11" s="37" t="s">
        <v>0</v>
      </c>
      <c r="H11" s="5"/>
      <c r="I11" s="5">
        <v>79</v>
      </c>
      <c r="J11" s="5">
        <v>99</v>
      </c>
      <c r="K11" s="16">
        <f t="shared" si="0"/>
        <v>89</v>
      </c>
      <c r="L11" s="5">
        <v>86</v>
      </c>
      <c r="M11" s="5">
        <v>65</v>
      </c>
      <c r="N11" s="19">
        <f t="shared" si="1"/>
        <v>70</v>
      </c>
      <c r="O11" s="5" t="str">
        <f t="shared" si="2"/>
        <v>עובר</v>
      </c>
      <c r="P11" s="5" t="str">
        <f t="shared" si="3"/>
        <v/>
      </c>
      <c r="Q11" s="41" t="str">
        <f t="shared" si="4"/>
        <v/>
      </c>
      <c r="R11" s="58" t="str">
        <f t="shared" si="5"/>
        <v>מלגה</v>
      </c>
      <c r="S11" s="58">
        <f t="shared" si="6"/>
        <v>7</v>
      </c>
      <c r="T11" s="63">
        <f t="shared" si="7"/>
        <v>0.33300000000000002</v>
      </c>
    </row>
    <row r="12" spans="1:20">
      <c r="A12" s="87"/>
      <c r="B12" s="29">
        <v>388923057</v>
      </c>
      <c r="C12" s="5" t="s">
        <v>5</v>
      </c>
      <c r="D12" s="5" t="s">
        <v>18</v>
      </c>
      <c r="E12" s="10">
        <v>8743644</v>
      </c>
      <c r="F12" s="13">
        <v>44141</v>
      </c>
      <c r="G12" s="37" t="s">
        <v>0</v>
      </c>
      <c r="H12" s="5">
        <v>60</v>
      </c>
      <c r="I12" s="5">
        <v>100</v>
      </c>
      <c r="J12" s="5">
        <v>80</v>
      </c>
      <c r="K12" s="16">
        <f t="shared" si="0"/>
        <v>80</v>
      </c>
      <c r="L12" s="5">
        <v>40</v>
      </c>
      <c r="M12" s="5">
        <v>61</v>
      </c>
      <c r="N12" s="19">
        <f t="shared" si="1"/>
        <v>60</v>
      </c>
      <c r="O12" s="5" t="str">
        <f t="shared" si="2"/>
        <v>עובר</v>
      </c>
      <c r="P12" s="5" t="str">
        <f t="shared" si="3"/>
        <v/>
      </c>
      <c r="Q12" s="41" t="str">
        <f t="shared" si="4"/>
        <v>מלגה</v>
      </c>
      <c r="R12" s="58" t="str">
        <f t="shared" si="5"/>
        <v>מלגה</v>
      </c>
      <c r="S12" s="58">
        <f t="shared" si="6"/>
        <v>8</v>
      </c>
      <c r="T12" s="63">
        <f t="shared" si="7"/>
        <v>0.111</v>
      </c>
    </row>
    <row r="13" spans="1:20" ht="13.5" thickBot="1">
      <c r="A13" s="88"/>
      <c r="B13" s="30">
        <v>244576280</v>
      </c>
      <c r="C13" s="7" t="s">
        <v>19</v>
      </c>
      <c r="D13" s="7" t="s">
        <v>18</v>
      </c>
      <c r="E13" s="11">
        <v>3252524</v>
      </c>
      <c r="F13" s="14">
        <v>44451</v>
      </c>
      <c r="G13" s="38" t="s">
        <v>0</v>
      </c>
      <c r="H13" s="7">
        <v>94</v>
      </c>
      <c r="I13" s="7">
        <v>100</v>
      </c>
      <c r="J13" s="7">
        <v>93</v>
      </c>
      <c r="K13" s="17">
        <f t="shared" si="0"/>
        <v>95.666666666666671</v>
      </c>
      <c r="L13" s="7">
        <v>95</v>
      </c>
      <c r="M13" s="7">
        <v>100</v>
      </c>
      <c r="N13" s="20">
        <f t="shared" si="1"/>
        <v>97</v>
      </c>
      <c r="O13" s="7" t="str">
        <f t="shared" si="2"/>
        <v>מצטיין</v>
      </c>
      <c r="P13" s="7" t="str">
        <f t="shared" si="3"/>
        <v>מלגה</v>
      </c>
      <c r="Q13" s="42" t="str">
        <f t="shared" si="4"/>
        <v>מלגה</v>
      </c>
      <c r="R13" s="57" t="str">
        <f t="shared" si="5"/>
        <v>מלגה</v>
      </c>
      <c r="S13" s="57">
        <f t="shared" si="6"/>
        <v>1</v>
      </c>
      <c r="T13" s="64">
        <f t="shared" si="7"/>
        <v>1</v>
      </c>
    </row>
    <row r="14" spans="1:20" ht="14.25" thickTop="1" thickBot="1">
      <c r="L14"/>
      <c r="M14"/>
    </row>
    <row r="15" spans="1:20" ht="12.75" customHeight="1" thickTop="1">
      <c r="A15" s="89" t="s">
        <v>47</v>
      </c>
      <c r="B15" s="21" t="s">
        <v>20</v>
      </c>
      <c r="C15" s="21"/>
      <c r="D15" s="21"/>
      <c r="E15" s="21"/>
      <c r="F15" s="21"/>
      <c r="G15" s="21"/>
      <c r="H15" s="31">
        <f>AVERAGE(H4:H13)</f>
        <v>77.222222222222229</v>
      </c>
      <c r="I15" s="31">
        <f t="shared" ref="I15:N15" si="8">AVERAGE(I4:I13)</f>
        <v>85.888888888888886</v>
      </c>
      <c r="J15" s="31">
        <f t="shared" si="8"/>
        <v>85.333333333333329</v>
      </c>
      <c r="K15" s="31">
        <f t="shared" si="8"/>
        <v>82.033333333333331</v>
      </c>
      <c r="L15" s="31">
        <f t="shared" si="8"/>
        <v>83.5</v>
      </c>
      <c r="M15" s="31">
        <f t="shared" si="8"/>
        <v>73.444444444444443</v>
      </c>
      <c r="N15" s="32">
        <f t="shared" si="8"/>
        <v>74</v>
      </c>
    </row>
    <row r="16" spans="1:20">
      <c r="A16" s="90"/>
      <c r="B16" s="5" t="s">
        <v>21</v>
      </c>
      <c r="C16" s="5"/>
      <c r="D16" s="5"/>
      <c r="E16" s="5"/>
      <c r="F16" s="5"/>
      <c r="G16" s="5"/>
      <c r="H16" s="16">
        <f>MEDIAN(H4:H13)</f>
        <v>81</v>
      </c>
      <c r="I16" s="16">
        <f t="shared" ref="I16:N16" si="9">MEDIAN(I4:I13)</f>
        <v>86</v>
      </c>
      <c r="J16" s="16">
        <f t="shared" si="9"/>
        <v>85</v>
      </c>
      <c r="K16" s="16">
        <f t="shared" si="9"/>
        <v>83.75</v>
      </c>
      <c r="L16" s="16">
        <f t="shared" si="9"/>
        <v>90</v>
      </c>
      <c r="M16" s="16">
        <f t="shared" si="9"/>
        <v>80</v>
      </c>
      <c r="N16" s="24">
        <f t="shared" si="9"/>
        <v>77</v>
      </c>
    </row>
    <row r="17" spans="1:14">
      <c r="A17" s="90"/>
      <c r="B17" s="5" t="s">
        <v>22</v>
      </c>
      <c r="C17" s="5"/>
      <c r="D17" s="5"/>
      <c r="E17" s="5"/>
      <c r="F17" s="5"/>
      <c r="G17" s="5"/>
      <c r="H17" s="16" t="e">
        <f>MODE(H4:H13)</f>
        <v>#N/A</v>
      </c>
      <c r="I17" s="16">
        <f t="shared" ref="I17:N17" si="10">MODE(I4:I13)</f>
        <v>79</v>
      </c>
      <c r="J17" s="16">
        <f t="shared" si="10"/>
        <v>99</v>
      </c>
      <c r="K17" s="16" t="e">
        <f t="shared" si="10"/>
        <v>#N/A</v>
      </c>
      <c r="L17" s="16">
        <f t="shared" si="10"/>
        <v>99</v>
      </c>
      <c r="M17" s="16" t="e">
        <f t="shared" si="10"/>
        <v>#N/A</v>
      </c>
      <c r="N17" s="24">
        <f t="shared" si="10"/>
        <v>60</v>
      </c>
    </row>
    <row r="18" spans="1:14">
      <c r="A18" s="90"/>
      <c r="B18" s="5" t="s">
        <v>23</v>
      </c>
      <c r="C18" s="5"/>
      <c r="D18" s="5"/>
      <c r="E18" s="5"/>
      <c r="F18" s="5"/>
      <c r="G18" s="5"/>
      <c r="H18" s="16">
        <f>MAX(H4:H13)</f>
        <v>94</v>
      </c>
      <c r="I18" s="16">
        <f t="shared" ref="I18:N18" si="11">MAX(I4:I13)</f>
        <v>100</v>
      </c>
      <c r="J18" s="16">
        <f t="shared" si="11"/>
        <v>99</v>
      </c>
      <c r="K18" s="16">
        <f t="shared" si="11"/>
        <v>95.666666666666671</v>
      </c>
      <c r="L18" s="16">
        <f t="shared" si="11"/>
        <v>100</v>
      </c>
      <c r="M18" s="16">
        <f t="shared" si="11"/>
        <v>100</v>
      </c>
      <c r="N18" s="24">
        <f t="shared" si="11"/>
        <v>97</v>
      </c>
    </row>
    <row r="19" spans="1:14">
      <c r="A19" s="90"/>
      <c r="B19" s="5" t="s">
        <v>24</v>
      </c>
      <c r="C19" s="5"/>
      <c r="D19" s="5"/>
      <c r="E19" s="5"/>
      <c r="F19" s="5"/>
      <c r="G19" s="5"/>
      <c r="H19" s="16">
        <f>MIN(H4:H13)</f>
        <v>45</v>
      </c>
      <c r="I19" s="16">
        <f t="shared" ref="I19:N19" si="12">MIN(I4:I13)</f>
        <v>60</v>
      </c>
      <c r="J19" s="16">
        <f t="shared" si="12"/>
        <v>69</v>
      </c>
      <c r="K19" s="16">
        <f t="shared" si="12"/>
        <v>52.5</v>
      </c>
      <c r="L19" s="16">
        <f t="shared" si="12"/>
        <v>40</v>
      </c>
      <c r="M19" s="16">
        <f t="shared" si="12"/>
        <v>45</v>
      </c>
      <c r="N19" s="24">
        <f t="shared" si="12"/>
        <v>44</v>
      </c>
    </row>
    <row r="20" spans="1:14">
      <c r="A20" s="90"/>
      <c r="B20" s="5" t="s">
        <v>43</v>
      </c>
      <c r="C20" s="5"/>
      <c r="D20" s="5"/>
      <c r="E20" s="5"/>
      <c r="F20" s="5"/>
      <c r="G20" s="5"/>
      <c r="H20" s="16">
        <f>STDEV(H4:H13)</f>
        <v>16.536155673083279</v>
      </c>
      <c r="I20" s="16">
        <f t="shared" ref="I20:N20" si="13">STDEV(I4:I13)</f>
        <v>13.166666666666675</v>
      </c>
      <c r="J20" s="16">
        <f t="shared" si="13"/>
        <v>10.428326807307105</v>
      </c>
      <c r="K20" s="16">
        <f t="shared" si="13"/>
        <v>11.67534069082849</v>
      </c>
      <c r="L20" s="16">
        <f t="shared" si="13"/>
        <v>20.23885152648517</v>
      </c>
      <c r="M20" s="16">
        <f t="shared" si="13"/>
        <v>19.190564811327921</v>
      </c>
      <c r="N20" s="24">
        <f t="shared" si="13"/>
        <v>15.818414023606231</v>
      </c>
    </row>
    <row r="21" spans="1:14">
      <c r="A21" s="90"/>
      <c r="B21" s="5" t="s">
        <v>44</v>
      </c>
      <c r="C21" s="5"/>
      <c r="D21" s="5"/>
      <c r="E21" s="5"/>
      <c r="F21" s="5"/>
      <c r="G21" s="5"/>
      <c r="H21" s="16">
        <f>VAR(H4:H13)</f>
        <v>273.44444444444434</v>
      </c>
      <c r="I21" s="16">
        <f t="shared" ref="I21:N21" si="14">VAR(I4:I13)</f>
        <v>173.36111111111131</v>
      </c>
      <c r="J21" s="16">
        <f t="shared" si="14"/>
        <v>108.75</v>
      </c>
      <c r="K21" s="16">
        <f t="shared" si="14"/>
        <v>136.31358024691548</v>
      </c>
      <c r="L21" s="16">
        <f t="shared" si="14"/>
        <v>409.61111111111109</v>
      </c>
      <c r="M21" s="16">
        <f t="shared" si="14"/>
        <v>368.27777777777737</v>
      </c>
      <c r="N21" s="24">
        <f t="shared" si="14"/>
        <v>250.22222222222223</v>
      </c>
    </row>
    <row r="22" spans="1:14">
      <c r="A22" s="90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5">COUNT(I4:I13)</f>
        <v>9</v>
      </c>
      <c r="J22" s="5">
        <f t="shared" si="15"/>
        <v>9</v>
      </c>
      <c r="K22" s="5">
        <f t="shared" si="15"/>
        <v>10</v>
      </c>
      <c r="L22" s="5">
        <f t="shared" si="15"/>
        <v>10</v>
      </c>
      <c r="M22" s="5">
        <f t="shared" si="15"/>
        <v>9</v>
      </c>
      <c r="N22" s="6">
        <f t="shared" si="15"/>
        <v>10</v>
      </c>
    </row>
    <row r="23" spans="1:14">
      <c r="A23" s="90"/>
      <c r="B23" s="5" t="s">
        <v>25</v>
      </c>
      <c r="C23" s="5"/>
      <c r="D23" s="5"/>
      <c r="E23" s="5"/>
      <c r="F23" s="5"/>
      <c r="G23" s="5"/>
      <c r="H23" s="5">
        <f>COUNTIF(H4:H13,"&lt;"&amp;$C$41)</f>
        <v>1</v>
      </c>
      <c r="I23" s="5">
        <f t="shared" ref="I23:N23" si="16">COUNTIF(I4:I13,"&lt;"&amp;$C$41)</f>
        <v>0</v>
      </c>
      <c r="J23" s="5">
        <f t="shared" si="16"/>
        <v>0</v>
      </c>
      <c r="K23" s="5">
        <f t="shared" si="16"/>
        <v>1</v>
      </c>
      <c r="L23" s="5">
        <f t="shared" si="16"/>
        <v>2</v>
      </c>
      <c r="M23" s="5">
        <f t="shared" si="16"/>
        <v>2</v>
      </c>
      <c r="N23" s="23">
        <f t="shared" si="16"/>
        <v>1</v>
      </c>
    </row>
    <row r="24" spans="1:14">
      <c r="A24" s="90"/>
      <c r="B24" s="5" t="s">
        <v>52</v>
      </c>
      <c r="C24" s="5"/>
      <c r="D24" s="5"/>
      <c r="E24" s="5"/>
      <c r="F24" s="5"/>
      <c r="G24" s="5"/>
      <c r="H24" s="5">
        <f>COUNTIFS(H4:H13,"&gt;="&amp;$C$41,H4:H13,"&lt;"&amp;$C$42)</f>
        <v>4</v>
      </c>
      <c r="I24" s="5">
        <f t="shared" ref="I24:N24" si="17">COUNTIFS(I4:I13,"&gt;="&amp;$C$41,I4:I13,"&lt;"&amp;$C$42)</f>
        <v>4</v>
      </c>
      <c r="J24" s="5">
        <f t="shared" si="17"/>
        <v>4</v>
      </c>
      <c r="K24" s="5">
        <f t="shared" si="17"/>
        <v>5</v>
      </c>
      <c r="L24" s="5">
        <f t="shared" si="17"/>
        <v>1</v>
      </c>
      <c r="M24" s="5">
        <f t="shared" si="17"/>
        <v>4</v>
      </c>
      <c r="N24" s="23">
        <f t="shared" si="17"/>
        <v>6</v>
      </c>
    </row>
    <row r="25" spans="1:14">
      <c r="A25" s="90"/>
      <c r="B25" s="5" t="s">
        <v>53</v>
      </c>
      <c r="C25" s="5"/>
      <c r="D25" s="5"/>
      <c r="E25" s="5"/>
      <c r="F25" s="5"/>
      <c r="G25" s="5"/>
      <c r="H25" s="5">
        <f>COUNTIF(H4:H13,E42)</f>
        <v>4</v>
      </c>
      <c r="I25" s="5">
        <f t="shared" ref="I25:N25" si="18">COUNTIF(I4:I13,"&gt;="&amp;$C$42)</f>
        <v>5</v>
      </c>
      <c r="J25" s="5">
        <f t="shared" si="18"/>
        <v>5</v>
      </c>
      <c r="K25" s="5">
        <f t="shared" si="18"/>
        <v>4</v>
      </c>
      <c r="L25" s="5">
        <f t="shared" si="18"/>
        <v>7</v>
      </c>
      <c r="M25" s="5">
        <f t="shared" si="18"/>
        <v>3</v>
      </c>
      <c r="N25" s="23">
        <f t="shared" si="18"/>
        <v>3</v>
      </c>
    </row>
    <row r="26" spans="1:14">
      <c r="A26" s="90"/>
      <c r="B26" s="37" t="s">
        <v>60</v>
      </c>
      <c r="C26" s="5" t="str">
        <f>B45</f>
        <v>סטודנטים</v>
      </c>
      <c r="D26" s="5"/>
      <c r="E26" s="5"/>
      <c r="F26" s="5"/>
      <c r="G26" s="5"/>
      <c r="H26" s="5">
        <f>COUNTIFS($D$4:$D$13,$C$45,H4:H13,"&gt;="&amp;$C$42)</f>
        <v>3</v>
      </c>
      <c r="I26" s="5">
        <f t="shared" ref="I26:N26" si="19">COUNTIFS($D$4:$D$13,$C$45,I4:I13,"&gt;="&amp;$C$42)</f>
        <v>2</v>
      </c>
      <c r="J26" s="5">
        <f t="shared" si="19"/>
        <v>3</v>
      </c>
      <c r="K26" s="5">
        <f t="shared" si="19"/>
        <v>3</v>
      </c>
      <c r="L26" s="5">
        <f t="shared" si="19"/>
        <v>3</v>
      </c>
      <c r="M26" s="5">
        <f t="shared" si="19"/>
        <v>0</v>
      </c>
      <c r="N26" s="6">
        <f t="shared" si="19"/>
        <v>1</v>
      </c>
    </row>
    <row r="27" spans="1:14">
      <c r="A27" s="91"/>
      <c r="B27" s="43"/>
      <c r="C27" s="5" t="str">
        <f>B46</f>
        <v>סטודנטיות</v>
      </c>
      <c r="D27" s="43"/>
      <c r="E27" s="43"/>
      <c r="F27" s="43"/>
      <c r="G27" s="43"/>
      <c r="H27" s="43">
        <f>COUNTIFS($D$4:$D$13,$C$46,H4:H13,$E$42)</f>
        <v>1</v>
      </c>
      <c r="I27" s="43">
        <f t="shared" ref="I27:N27" si="20">COUNTIFS($D$4:$D$13,$C$46,I4:I13,$E$42)</f>
        <v>3</v>
      </c>
      <c r="J27" s="43">
        <f t="shared" si="20"/>
        <v>2</v>
      </c>
      <c r="K27" s="43">
        <f t="shared" si="20"/>
        <v>1</v>
      </c>
      <c r="L27" s="43">
        <f t="shared" si="20"/>
        <v>4</v>
      </c>
      <c r="M27" s="43">
        <f t="shared" si="20"/>
        <v>3</v>
      </c>
      <c r="N27" s="44">
        <f t="shared" si="20"/>
        <v>2</v>
      </c>
    </row>
    <row r="28" spans="1:14">
      <c r="A28" s="91"/>
      <c r="B28" s="43" t="s">
        <v>38</v>
      </c>
      <c r="C28" s="43"/>
      <c r="D28" s="43">
        <f>COUNTA(C4:C13)</f>
        <v>10</v>
      </c>
      <c r="E28" s="43"/>
      <c r="F28" s="43"/>
      <c r="G28" s="47" t="s">
        <v>63</v>
      </c>
      <c r="H28" s="48">
        <f>AVERAGEIFS(H4:H13,H4:H13,"&gt;="&amp;$C$41,H4:H13,"&lt;"&amp;$C$42)</f>
        <v>72</v>
      </c>
      <c r="I28" s="48">
        <f t="shared" ref="I28:N28" si="21">AVERAGEIFS(I4:I13,I4:I13,"&gt;="&amp;$C$41,I4:I13,"&lt;"&amp;$C$42)</f>
        <v>74.5</v>
      </c>
      <c r="J28" s="48">
        <f t="shared" si="21"/>
        <v>76.25</v>
      </c>
      <c r="K28" s="48">
        <f t="shared" si="21"/>
        <v>81.36666666666666</v>
      </c>
      <c r="L28" s="48">
        <f t="shared" si="21"/>
        <v>81</v>
      </c>
      <c r="M28" s="48">
        <f t="shared" si="21"/>
        <v>71.75</v>
      </c>
      <c r="N28" s="49">
        <f t="shared" si="21"/>
        <v>70.833333333333329</v>
      </c>
    </row>
    <row r="29" spans="1:14">
      <c r="A29" s="91"/>
      <c r="B29" s="37" t="s">
        <v>60</v>
      </c>
      <c r="C29" s="43" t="str">
        <f>B45</f>
        <v>סטודנטים</v>
      </c>
      <c r="D29" s="43">
        <f>COUNTIF(D4:D13,C45)</f>
        <v>4</v>
      </c>
      <c r="E29" s="43"/>
      <c r="F29" s="43"/>
      <c r="G29" s="46" t="s">
        <v>62</v>
      </c>
      <c r="H29" s="48">
        <f>AVERAGEIF($D$4:$D$13,$C45,H$4:H$13)</f>
        <v>89.333333333333329</v>
      </c>
      <c r="I29" s="48">
        <f t="shared" ref="I29:N29" si="22">AVERAGEIF($D$4:$D$13,$C45,I$4:I$13)</f>
        <v>83.5</v>
      </c>
      <c r="J29" s="48">
        <f t="shared" si="22"/>
        <v>89.25</v>
      </c>
      <c r="K29" s="48">
        <f t="shared" si="22"/>
        <v>87.333333333333329</v>
      </c>
      <c r="L29" s="48">
        <f t="shared" si="22"/>
        <v>85</v>
      </c>
      <c r="M29" s="48">
        <f t="shared" si="22"/>
        <v>60</v>
      </c>
      <c r="N29" s="49">
        <f t="shared" si="22"/>
        <v>73.75</v>
      </c>
    </row>
    <row r="30" spans="1:14" ht="13.5" thickBot="1">
      <c r="A30" s="92"/>
      <c r="B30" s="7"/>
      <c r="C30" s="7" t="str">
        <f>B46</f>
        <v>סטודנטיות</v>
      </c>
      <c r="D30" s="7">
        <f>COUNTIF(D4:D13,C46)</f>
        <v>6</v>
      </c>
      <c r="E30" s="7"/>
      <c r="F30" s="7"/>
      <c r="G30" s="7" t="s">
        <v>62</v>
      </c>
      <c r="H30" s="50">
        <f t="shared" ref="H30:N30" si="23">AVERAGEIF($D$4:$D$13,$C46,H$4:H$13)</f>
        <v>71.166666666666671</v>
      </c>
      <c r="I30" s="52">
        <f t="shared" si="23"/>
        <v>87.8</v>
      </c>
      <c r="J30" s="50">
        <f t="shared" si="23"/>
        <v>82.2</v>
      </c>
      <c r="K30" s="50">
        <f t="shared" si="23"/>
        <v>78.5</v>
      </c>
      <c r="L30" s="50">
        <f t="shared" si="23"/>
        <v>82.5</v>
      </c>
      <c r="M30" s="50">
        <f t="shared" si="23"/>
        <v>84.2</v>
      </c>
      <c r="N30" s="51">
        <f t="shared" si="23"/>
        <v>74.166666666666671</v>
      </c>
    </row>
    <row r="31" spans="1:14" ht="14.25" thickTop="1" thickBot="1">
      <c r="L31"/>
      <c r="M31"/>
    </row>
    <row r="32" spans="1:14" ht="13.5" thickTop="1">
      <c r="A32" s="80" t="s">
        <v>48</v>
      </c>
      <c r="B32" s="21" t="s">
        <v>26</v>
      </c>
      <c r="C32" s="33">
        <v>0.1</v>
      </c>
      <c r="L32"/>
      <c r="M32"/>
    </row>
    <row r="33" spans="1:14">
      <c r="A33" s="81"/>
      <c r="B33" s="5" t="s">
        <v>27</v>
      </c>
      <c r="C33" s="34">
        <v>0.1</v>
      </c>
      <c r="L33"/>
      <c r="M33"/>
    </row>
    <row r="34" spans="1:14">
      <c r="A34" s="81"/>
      <c r="B34" s="5" t="s">
        <v>28</v>
      </c>
      <c r="C34" s="34">
        <v>0.1</v>
      </c>
      <c r="L34"/>
      <c r="M34"/>
    </row>
    <row r="35" spans="1:14">
      <c r="A35" s="81"/>
      <c r="B35" s="5" t="s">
        <v>29</v>
      </c>
      <c r="C35" s="34">
        <v>0.3</v>
      </c>
      <c r="L35"/>
      <c r="M35"/>
    </row>
    <row r="36" spans="1:14">
      <c r="A36" s="81"/>
      <c r="B36" s="5" t="s">
        <v>30</v>
      </c>
      <c r="C36" s="34">
        <v>0.4</v>
      </c>
      <c r="L36"/>
      <c r="M36"/>
    </row>
    <row r="37" spans="1:14" ht="13.5" thickBot="1">
      <c r="A37" s="82"/>
      <c r="B37" s="7" t="s">
        <v>31</v>
      </c>
      <c r="C37" s="35">
        <f>SUM(C32:C36)</f>
        <v>1</v>
      </c>
      <c r="L37"/>
      <c r="M37"/>
    </row>
    <row r="38" spans="1:14" ht="12.75" customHeight="1" thickTop="1" thickBot="1">
      <c r="L38"/>
      <c r="M38"/>
    </row>
    <row r="39" spans="1:14" ht="13.5" thickTop="1">
      <c r="A39" s="80" t="s">
        <v>49</v>
      </c>
      <c r="B39" s="21"/>
      <c r="C39" s="21" t="s">
        <v>32</v>
      </c>
      <c r="D39" s="22" t="s">
        <v>33</v>
      </c>
      <c r="L39"/>
      <c r="M39"/>
      <c r="N39" s="1"/>
    </row>
    <row r="40" spans="1:14">
      <c r="A40" s="81"/>
      <c r="B40" s="5" t="s">
        <v>34</v>
      </c>
      <c r="C40" s="16">
        <v>0</v>
      </c>
      <c r="D40" s="24">
        <v>59.49</v>
      </c>
      <c r="E40" s="3"/>
      <c r="F40" s="3"/>
      <c r="G40" s="3"/>
      <c r="L40"/>
      <c r="M40"/>
      <c r="N40" s="2"/>
    </row>
    <row r="41" spans="1:14">
      <c r="A41" s="81"/>
      <c r="B41" s="5" t="s">
        <v>35</v>
      </c>
      <c r="C41" s="16">
        <v>59.5</v>
      </c>
      <c r="D41" s="24">
        <v>84.49</v>
      </c>
      <c r="E41" s="3"/>
      <c r="F41" s="3"/>
      <c r="G41" s="3"/>
      <c r="L41"/>
      <c r="M41"/>
      <c r="N41" s="1"/>
    </row>
    <row r="42" spans="1:14" ht="13.5" thickBot="1">
      <c r="A42" s="82"/>
      <c r="B42" s="7" t="s">
        <v>36</v>
      </c>
      <c r="C42" s="17">
        <f>84.5</f>
        <v>84.5</v>
      </c>
      <c r="D42" s="25">
        <v>100</v>
      </c>
      <c r="E42" s="45" t="s">
        <v>61</v>
      </c>
      <c r="F42" s="3"/>
      <c r="G42" s="3"/>
      <c r="L42"/>
      <c r="M42"/>
      <c r="N42" s="1"/>
    </row>
    <row r="43" spans="1:14" ht="14.25" thickTop="1" thickBot="1"/>
    <row r="44" spans="1:14" ht="13.5" thickTop="1">
      <c r="A44" s="80" t="s">
        <v>58</v>
      </c>
      <c r="B44" s="83" t="s">
        <v>8</v>
      </c>
      <c r="C44" s="84"/>
    </row>
    <row r="45" spans="1:14">
      <c r="A45" s="81"/>
      <c r="B45" s="5" t="s">
        <v>56</v>
      </c>
      <c r="C45" s="24" t="s">
        <v>17</v>
      </c>
    </row>
    <row r="46" spans="1:14" ht="13.5" thickBot="1">
      <c r="A46" s="82"/>
      <c r="B46" s="7" t="s">
        <v>57</v>
      </c>
      <c r="C46" s="25" t="s">
        <v>18</v>
      </c>
    </row>
    <row r="47" spans="1:14" ht="13.5" thickTop="1"/>
  </sheetData>
  <mergeCells count="7">
    <mergeCell ref="A44:A46"/>
    <mergeCell ref="B44:C44"/>
    <mergeCell ref="A1:R1"/>
    <mergeCell ref="A3:A13"/>
    <mergeCell ref="A15:A30"/>
    <mergeCell ref="A32:A37"/>
    <mergeCell ref="A39:A42"/>
  </mergeCells>
  <conditionalFormatting sqref="B4:B13">
    <cfRule type="duplicateValues" dxfId="41" priority="17"/>
  </conditionalFormatting>
  <conditionalFormatting sqref="N4:N13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5">
      <iconSet iconSet="3Symbols2">
        <cfvo type="percent" val="0"/>
        <cfvo type="percent" val="33"/>
        <cfvo type="percent" val="67"/>
      </iconSet>
    </cfRule>
    <cfRule type="dataBar" priority="16">
      <dataBar>
        <cfvo type="min"/>
        <cfvo type="max"/>
        <color rgb="FF008AEF"/>
      </dataBar>
    </cfRule>
  </conditionalFormatting>
  <conditionalFormatting sqref="O4:O13">
    <cfRule type="cellIs" dxfId="40" priority="11" operator="equal">
      <formula>$B$40</formula>
    </cfRule>
    <cfRule type="cellIs" dxfId="39" priority="12" operator="equal">
      <formula>$B$41</formula>
    </cfRule>
    <cfRule type="cellIs" dxfId="38" priority="13" operator="equal">
      <formula>$B$42</formula>
    </cfRule>
  </conditionalFormatting>
  <conditionalFormatting sqref="B4:Q13">
    <cfRule type="expression" dxfId="37" priority="10">
      <formula>$O4=$B$40</formula>
    </cfRule>
  </conditionalFormatting>
  <conditionalFormatting sqref="B8">
    <cfRule type="duplicateValues" dxfId="36" priority="9"/>
  </conditionalFormatting>
  <conditionalFormatting sqref="B8">
    <cfRule type="expression" dxfId="35" priority="8">
      <formula>$O8=$B$40</formula>
    </cfRule>
  </conditionalFormatting>
  <conditionalFormatting sqref="B8">
    <cfRule type="duplicateValues" dxfId="34" priority="7"/>
  </conditionalFormatting>
  <conditionalFormatting sqref="B8">
    <cfRule type="expression" dxfId="33" priority="6">
      <formula>$O8=$B$40</formula>
    </cfRule>
  </conditionalFormatting>
  <conditionalFormatting sqref="S5:S13">
    <cfRule type="expression" dxfId="32" priority="5">
      <formula>$O5=$B$40</formula>
    </cfRule>
  </conditionalFormatting>
  <conditionalFormatting sqref="T5:T13">
    <cfRule type="expression" dxfId="31" priority="4">
      <formula>$O5=$B$40</formula>
    </cfRule>
  </conditionalFormatting>
  <conditionalFormatting sqref="R4:R13">
    <cfRule type="expression" dxfId="30" priority="3">
      <formula>$O4=$B$40</formula>
    </cfRule>
  </conditionalFormatting>
  <conditionalFormatting sqref="S4">
    <cfRule type="expression" dxfId="29" priority="2">
      <formula>$O4=$B$40</formula>
    </cfRule>
  </conditionalFormatting>
  <conditionalFormatting sqref="T4:T13">
    <cfRule type="expression" dxfId="28" priority="1">
      <formula>$O4=$B$40</formula>
    </cfRule>
  </conditionalFormatting>
  <dataValidations count="2">
    <dataValidation type="whole" allowBlank="1" showInputMessage="1" showErrorMessage="1" sqref="H4:J13 L4:M13">
      <formula1>$C$40</formula1>
      <formula2>$D$42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$B$45:$B$46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/>
  <dimension ref="A1:C6"/>
  <sheetViews>
    <sheetView rightToLeft="1" workbookViewId="0"/>
  </sheetViews>
  <sheetFormatPr defaultRowHeight="12.75"/>
  <cols>
    <col min="1" max="1" width="9.140625" style="53"/>
    <col min="2" max="2" width="10.42578125" style="53" bestFit="1" customWidth="1"/>
    <col min="3" max="3" width="9.28515625" style="53" bestFit="1" customWidth="1"/>
    <col min="4" max="16384" width="9.140625" style="53"/>
  </cols>
  <sheetData>
    <row r="1" spans="1:3">
      <c r="A1" s="66" t="s">
        <v>68</v>
      </c>
      <c r="B1" s="66" t="s">
        <v>69</v>
      </c>
      <c r="C1" s="66" t="s">
        <v>66</v>
      </c>
    </row>
    <row r="6" spans="1:3">
      <c r="A6" s="66" t="s">
        <v>68</v>
      </c>
      <c r="B6" s="66" t="s">
        <v>69</v>
      </c>
      <c r="C6" s="66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/>
  <dimension ref="A1:C9"/>
  <sheetViews>
    <sheetView rightToLeft="1" workbookViewId="0"/>
  </sheetViews>
  <sheetFormatPr defaultRowHeight="12.75"/>
  <cols>
    <col min="1" max="1" width="9.140625" style="53"/>
    <col min="2" max="2" width="10.140625" style="53" bestFit="1" customWidth="1"/>
    <col min="3" max="16384" width="9.140625" style="53"/>
  </cols>
  <sheetData>
    <row r="1" spans="1:3">
      <c r="A1" s="66" t="s">
        <v>68</v>
      </c>
      <c r="B1" s="66" t="s">
        <v>69</v>
      </c>
      <c r="C1" s="66" t="s">
        <v>66</v>
      </c>
    </row>
    <row r="2" spans="1:3">
      <c r="A2" s="53">
        <v>0</v>
      </c>
      <c r="B2" s="53">
        <v>100</v>
      </c>
      <c r="C2" s="53">
        <f ca="1">RAND()*(B2-A2)+A2</f>
        <v>40.742167910991135</v>
      </c>
    </row>
    <row r="3" spans="1:3">
      <c r="A3" s="53">
        <v>60</v>
      </c>
      <c r="B3" s="53">
        <v>80</v>
      </c>
      <c r="C3" s="53">
        <f ca="1">INT(RAND()*(B3-A3)+A3)</f>
        <v>66</v>
      </c>
    </row>
    <row r="6" spans="1:3">
      <c r="A6" s="66" t="s">
        <v>68</v>
      </c>
      <c r="B6" s="66" t="s">
        <v>67</v>
      </c>
      <c r="C6" s="66" t="s">
        <v>66</v>
      </c>
    </row>
    <row r="7" spans="1:3">
      <c r="A7" s="53">
        <v>10</v>
      </c>
      <c r="B7" s="53">
        <v>25</v>
      </c>
      <c r="C7" s="53">
        <f ca="1">INT(RAND()*(B7-A7+1)+A7)</f>
        <v>17</v>
      </c>
    </row>
    <row r="8" spans="1:3">
      <c r="A8" s="53">
        <v>10</v>
      </c>
      <c r="B8" s="53">
        <v>25</v>
      </c>
      <c r="C8" s="53">
        <v>17</v>
      </c>
    </row>
    <row r="9" spans="1:3">
      <c r="A9" s="53">
        <v>10</v>
      </c>
      <c r="B9" s="53">
        <v>100</v>
      </c>
      <c r="C9" s="65">
        <f ca="1">RANDBETWEEN(A9,B9)</f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2" width="4.7109375" customWidth="1"/>
    <col min="3" max="3" width="14.7109375" bestFit="1" customWidth="1"/>
    <col min="4" max="4" width="8.42578125" bestFit="1" customWidth="1"/>
    <col min="5" max="5" width="6.5703125" bestFit="1" customWidth="1"/>
    <col min="6" max="6" width="8.5703125" bestFit="1" customWidth="1"/>
    <col min="7" max="7" width="8.42578125" bestFit="1" customWidth="1"/>
    <col min="8" max="8" width="8.140625" bestFit="1" customWidth="1"/>
    <col min="9" max="11" width="6.5703125" customWidth="1"/>
    <col min="12" max="12" width="8" bestFit="1" customWidth="1"/>
    <col min="13" max="14" width="6.5703125" style="1" bestFit="1" customWidth="1"/>
    <col min="15" max="15" width="7.7109375" bestFit="1" customWidth="1"/>
    <col min="16" max="16" width="6.28515625" bestFit="1" customWidth="1"/>
    <col min="17" max="17" width="8" bestFit="1" customWidth="1"/>
    <col min="18" max="18" width="7.85546875" bestFit="1" customWidth="1"/>
    <col min="19" max="19" width="7" bestFit="1" customWidth="1"/>
  </cols>
  <sheetData>
    <row r="1" spans="1:21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3.5" thickBot="1"/>
    <row r="3" spans="1:21" s="4" customFormat="1" ht="27" thickTop="1" thickBot="1">
      <c r="A3" s="86" t="s">
        <v>46</v>
      </c>
      <c r="B3" s="74" t="s">
        <v>70</v>
      </c>
      <c r="C3" s="27" t="s">
        <v>41</v>
      </c>
      <c r="D3" s="26" t="s">
        <v>1</v>
      </c>
      <c r="E3" s="26" t="s">
        <v>8</v>
      </c>
      <c r="F3" s="26" t="s">
        <v>51</v>
      </c>
      <c r="G3" s="26" t="s">
        <v>50</v>
      </c>
      <c r="H3" s="26" t="s">
        <v>54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39</v>
      </c>
      <c r="R3" s="39" t="s">
        <v>40</v>
      </c>
      <c r="S3" s="61" t="s">
        <v>59</v>
      </c>
      <c r="T3" s="61" t="s">
        <v>65</v>
      </c>
      <c r="U3" s="60" t="s">
        <v>64</v>
      </c>
    </row>
    <row r="4" spans="1:21">
      <c r="A4" s="87"/>
      <c r="B4" s="75">
        <v>1</v>
      </c>
      <c r="C4" s="28">
        <v>123456789</v>
      </c>
      <c r="D4" s="8" t="s">
        <v>2</v>
      </c>
      <c r="E4" s="8" t="s">
        <v>17</v>
      </c>
      <c r="F4" s="9">
        <v>9877665</v>
      </c>
      <c r="G4" s="12">
        <v>123</v>
      </c>
      <c r="H4" s="36" t="s">
        <v>55</v>
      </c>
      <c r="I4" s="8">
        <v>89</v>
      </c>
      <c r="J4" s="8">
        <v>86</v>
      </c>
      <c r="K4" s="8">
        <v>99</v>
      </c>
      <c r="L4" s="15">
        <f>AVERAGE(I4:K4)</f>
        <v>91.333333333333329</v>
      </c>
      <c r="M4" s="8">
        <v>99</v>
      </c>
      <c r="N4" s="8">
        <v>80</v>
      </c>
      <c r="O4" s="18">
        <f>ROUND(I4*$D$32+J4*$D$33+K4*$D$34+M4*$D$35+N4*$D$36,0)</f>
        <v>89</v>
      </c>
      <c r="P4" s="8" t="str">
        <f>IF(O4&lt;$D$41,$C$40,IF(O4&lt;$D$42,$C$41,$C$42))</f>
        <v>מצטיין</v>
      </c>
      <c r="Q4" s="8" t="str">
        <f>IF(AND(E4=$D$46,P4=$C$42),"מלגה","")</f>
        <v/>
      </c>
      <c r="R4" s="40" t="str">
        <f>IF(OR(E4=$D$46,P4=$C$42),"מלגה","")</f>
        <v>מלגה</v>
      </c>
      <c r="S4" s="59" t="str">
        <f>IF(NOT(O4&lt;$D$41),"מלגה","")</f>
        <v>מלגה</v>
      </c>
      <c r="T4" s="59">
        <f>RANK(O4,$O$4:$O$13,0)</f>
        <v>2</v>
      </c>
      <c r="U4" s="62">
        <f>PERCENTRANK($O$4:$O$13,O4)</f>
        <v>0.88800000000000001</v>
      </c>
    </row>
    <row r="5" spans="1:21">
      <c r="A5" s="87"/>
      <c r="B5" s="76">
        <v>2</v>
      </c>
      <c r="C5" s="29">
        <v>193878400</v>
      </c>
      <c r="D5" s="5" t="s">
        <v>3</v>
      </c>
      <c r="E5" s="5" t="s">
        <v>18</v>
      </c>
      <c r="F5" s="10">
        <v>9876544</v>
      </c>
      <c r="G5" s="13">
        <v>70000</v>
      </c>
      <c r="H5" s="37" t="s">
        <v>55</v>
      </c>
      <c r="I5" s="5">
        <v>81</v>
      </c>
      <c r="J5" s="5">
        <v>80</v>
      </c>
      <c r="K5" s="5">
        <v>82</v>
      </c>
      <c r="L5" s="16">
        <f t="shared" ref="L5:L13" si="0">AVERAGE(I5:K5)</f>
        <v>81</v>
      </c>
      <c r="M5" s="5">
        <v>81</v>
      </c>
      <c r="N5" s="5">
        <v>81</v>
      </c>
      <c r="O5" s="19">
        <f t="shared" ref="O5:O13" si="1">ROUND(I5*$D$32+J5*$D$33+K5*$D$34+M5*$D$35+N5*$D$36,0)</f>
        <v>81</v>
      </c>
      <c r="P5" s="5" t="str">
        <f t="shared" ref="P5:P13" si="2">IF(O5&lt;$D$41,$C$40,IF(O5&lt;$D$42,$C$41,$C$42))</f>
        <v>עובר</v>
      </c>
      <c r="Q5" s="5" t="str">
        <f t="shared" ref="Q5:Q13" si="3">IF(AND(E5=$D$46,P5=$C$42),"מלגה","")</f>
        <v/>
      </c>
      <c r="R5" s="41" t="str">
        <f t="shared" ref="R5:R13" si="4">IF(OR(E5=$D$46,P5=$C$42),"מלגה","")</f>
        <v>מלגה</v>
      </c>
      <c r="S5" s="58" t="str">
        <f t="shared" ref="S5:S13" si="5">IF(NOT(O5&lt;$D$41),"מלגה","")</f>
        <v>מלגה</v>
      </c>
      <c r="T5" s="58">
        <f t="shared" ref="T5:T13" si="6">RANK(O5,$O$4:$O$13,0)</f>
        <v>4</v>
      </c>
      <c r="U5" s="63">
        <f t="shared" ref="U5:U13" si="7">PERCENTRANK($O$4:$O$13,O5)</f>
        <v>0.66600000000000004</v>
      </c>
    </row>
    <row r="6" spans="1:21">
      <c r="A6" s="87"/>
      <c r="B6" s="76">
        <v>3</v>
      </c>
      <c r="C6" s="29">
        <v>658370843</v>
      </c>
      <c r="D6" s="5" t="s">
        <v>4</v>
      </c>
      <c r="E6" s="5" t="s">
        <v>18</v>
      </c>
      <c r="F6" s="10">
        <v>2118758</v>
      </c>
      <c r="G6" s="13">
        <v>55326</v>
      </c>
      <c r="H6" s="37" t="s">
        <v>55</v>
      </c>
      <c r="I6" s="5">
        <v>67</v>
      </c>
      <c r="J6" s="5">
        <v>99</v>
      </c>
      <c r="K6" s="5">
        <v>69</v>
      </c>
      <c r="L6" s="16">
        <f t="shared" si="0"/>
        <v>78.333333333333329</v>
      </c>
      <c r="M6" s="5">
        <v>90</v>
      </c>
      <c r="N6" s="5">
        <v>85</v>
      </c>
      <c r="O6" s="19">
        <f t="shared" si="1"/>
        <v>85</v>
      </c>
      <c r="P6" s="5" t="str">
        <f t="shared" si="2"/>
        <v>מצטיין</v>
      </c>
      <c r="Q6" s="5" t="str">
        <f t="shared" si="3"/>
        <v>מלגה</v>
      </c>
      <c r="R6" s="41" t="str">
        <f t="shared" si="4"/>
        <v>מלגה</v>
      </c>
      <c r="S6" s="58" t="str">
        <f t="shared" si="5"/>
        <v>מלגה</v>
      </c>
      <c r="T6" s="58">
        <f t="shared" si="6"/>
        <v>3</v>
      </c>
      <c r="U6" s="63">
        <f t="shared" si="7"/>
        <v>0.77700000000000002</v>
      </c>
    </row>
    <row r="7" spans="1:21">
      <c r="A7" s="87"/>
      <c r="B7" s="76">
        <v>4</v>
      </c>
      <c r="C7" s="29">
        <v>830998987</v>
      </c>
      <c r="D7" s="5" t="s">
        <v>5</v>
      </c>
      <c r="E7" s="5" t="s">
        <v>18</v>
      </c>
      <c r="F7" s="10">
        <v>3527439</v>
      </c>
      <c r="G7" s="13">
        <v>56324</v>
      </c>
      <c r="H7" s="37" t="s">
        <v>55</v>
      </c>
      <c r="I7" s="5">
        <v>80</v>
      </c>
      <c r="J7" s="5"/>
      <c r="K7" s="5">
        <v>87</v>
      </c>
      <c r="L7" s="16">
        <f t="shared" si="0"/>
        <v>83.5</v>
      </c>
      <c r="M7" s="5">
        <v>90</v>
      </c>
      <c r="N7" s="5"/>
      <c r="O7" s="19">
        <f t="shared" si="1"/>
        <v>44</v>
      </c>
      <c r="P7" s="5" t="str">
        <f t="shared" si="2"/>
        <v>נכשל</v>
      </c>
      <c r="Q7" s="5" t="str">
        <f t="shared" si="3"/>
        <v/>
      </c>
      <c r="R7" s="41" t="str">
        <f t="shared" si="4"/>
        <v>מלגה</v>
      </c>
      <c r="S7" s="58" t="str">
        <f t="shared" si="5"/>
        <v/>
      </c>
      <c r="T7" s="58">
        <f t="shared" si="6"/>
        <v>10</v>
      </c>
      <c r="U7" s="63">
        <f t="shared" si="7"/>
        <v>0</v>
      </c>
    </row>
    <row r="8" spans="1:21">
      <c r="A8" s="87"/>
      <c r="B8" s="76">
        <v>5</v>
      </c>
      <c r="C8" s="29">
        <v>123456789</v>
      </c>
      <c r="D8" s="5" t="s">
        <v>42</v>
      </c>
      <c r="E8" s="5" t="s">
        <v>17</v>
      </c>
      <c r="F8" s="10">
        <v>7563094</v>
      </c>
      <c r="G8" s="13">
        <v>86534</v>
      </c>
      <c r="H8" s="37" t="s">
        <v>55</v>
      </c>
      <c r="I8" s="5">
        <v>91</v>
      </c>
      <c r="J8" s="5">
        <v>79</v>
      </c>
      <c r="K8" s="5">
        <v>85</v>
      </c>
      <c r="L8" s="16">
        <f t="shared" si="0"/>
        <v>85</v>
      </c>
      <c r="M8" s="5">
        <v>100</v>
      </c>
      <c r="N8" s="5">
        <v>50</v>
      </c>
      <c r="O8" s="19">
        <f t="shared" si="1"/>
        <v>76</v>
      </c>
      <c r="P8" s="5" t="str">
        <f t="shared" si="2"/>
        <v>עובר</v>
      </c>
      <c r="Q8" s="5" t="str">
        <f t="shared" si="3"/>
        <v/>
      </c>
      <c r="R8" s="41" t="str">
        <f t="shared" si="4"/>
        <v/>
      </c>
      <c r="S8" s="58" t="str">
        <f t="shared" si="5"/>
        <v>מלגה</v>
      </c>
      <c r="T8" s="58">
        <f t="shared" si="6"/>
        <v>6</v>
      </c>
      <c r="U8" s="63">
        <f t="shared" si="7"/>
        <v>0.44400000000000001</v>
      </c>
    </row>
    <row r="9" spans="1:21">
      <c r="A9" s="87"/>
      <c r="B9" s="76">
        <v>6</v>
      </c>
      <c r="C9" s="29">
        <v>298754355</v>
      </c>
      <c r="D9" s="5" t="s">
        <v>6</v>
      </c>
      <c r="E9" s="5" t="s">
        <v>17</v>
      </c>
      <c r="F9" s="10">
        <v>8763456</v>
      </c>
      <c r="G9" s="13">
        <v>83934</v>
      </c>
      <c r="H9" s="37" t="s">
        <v>0</v>
      </c>
      <c r="I9" s="5">
        <v>88</v>
      </c>
      <c r="J9" s="5">
        <v>90</v>
      </c>
      <c r="K9" s="5">
        <v>74</v>
      </c>
      <c r="L9" s="16">
        <f t="shared" si="0"/>
        <v>84</v>
      </c>
      <c r="M9" s="5">
        <v>55</v>
      </c>
      <c r="N9" s="5">
        <v>45</v>
      </c>
      <c r="O9" s="19">
        <f t="shared" si="1"/>
        <v>60</v>
      </c>
      <c r="P9" s="5" t="str">
        <f t="shared" si="2"/>
        <v>עובר</v>
      </c>
      <c r="Q9" s="5" t="str">
        <f t="shared" si="3"/>
        <v/>
      </c>
      <c r="R9" s="41" t="str">
        <f t="shared" si="4"/>
        <v/>
      </c>
      <c r="S9" s="58" t="str">
        <f t="shared" si="5"/>
        <v>מלגה</v>
      </c>
      <c r="T9" s="58">
        <f t="shared" si="6"/>
        <v>8</v>
      </c>
      <c r="U9" s="63">
        <f t="shared" si="7"/>
        <v>0.111</v>
      </c>
    </row>
    <row r="10" spans="1:21">
      <c r="A10" s="87"/>
      <c r="B10" s="76">
        <v>7</v>
      </c>
      <c r="C10" s="29">
        <v>983687692</v>
      </c>
      <c r="D10" s="5" t="s">
        <v>7</v>
      </c>
      <c r="E10" s="5" t="s">
        <v>18</v>
      </c>
      <c r="F10" s="10">
        <v>6347234</v>
      </c>
      <c r="G10" s="13">
        <v>55235</v>
      </c>
      <c r="H10" s="37" t="s">
        <v>0</v>
      </c>
      <c r="I10" s="5">
        <v>45</v>
      </c>
      <c r="J10" s="5">
        <v>60</v>
      </c>
      <c r="K10" s="5"/>
      <c r="L10" s="16">
        <f t="shared" si="0"/>
        <v>52.5</v>
      </c>
      <c r="M10" s="5">
        <v>99</v>
      </c>
      <c r="N10" s="5">
        <v>94</v>
      </c>
      <c r="O10" s="19">
        <f t="shared" si="1"/>
        <v>78</v>
      </c>
      <c r="P10" s="5" t="str">
        <f t="shared" si="2"/>
        <v>עובר</v>
      </c>
      <c r="Q10" s="5" t="str">
        <f t="shared" si="3"/>
        <v/>
      </c>
      <c r="R10" s="41" t="str">
        <f t="shared" si="4"/>
        <v>מלגה</v>
      </c>
      <c r="S10" s="58" t="str">
        <f t="shared" si="5"/>
        <v>מלגה</v>
      </c>
      <c r="T10" s="58">
        <f t="shared" si="6"/>
        <v>5</v>
      </c>
      <c r="U10" s="63">
        <f t="shared" si="7"/>
        <v>0.55500000000000005</v>
      </c>
    </row>
    <row r="11" spans="1:21">
      <c r="A11" s="87"/>
      <c r="B11" s="76">
        <v>8</v>
      </c>
      <c r="C11" s="29">
        <v>947465892</v>
      </c>
      <c r="D11" s="5" t="s">
        <v>19</v>
      </c>
      <c r="E11" s="5" t="s">
        <v>17</v>
      </c>
      <c r="F11" s="10">
        <v>3434324</v>
      </c>
      <c r="G11" s="13">
        <v>41466</v>
      </c>
      <c r="H11" s="37" t="s">
        <v>0</v>
      </c>
      <c r="I11" s="5"/>
      <c r="J11" s="5">
        <v>79</v>
      </c>
      <c r="K11" s="5">
        <v>99</v>
      </c>
      <c r="L11" s="16">
        <f t="shared" si="0"/>
        <v>89</v>
      </c>
      <c r="M11" s="5">
        <v>86</v>
      </c>
      <c r="N11" s="5">
        <v>65</v>
      </c>
      <c r="O11" s="19">
        <f t="shared" si="1"/>
        <v>70</v>
      </c>
      <c r="P11" s="5" t="str">
        <f t="shared" si="2"/>
        <v>עובר</v>
      </c>
      <c r="Q11" s="5" t="str">
        <f t="shared" si="3"/>
        <v/>
      </c>
      <c r="R11" s="41" t="str">
        <f t="shared" si="4"/>
        <v/>
      </c>
      <c r="S11" s="58" t="str">
        <f t="shared" si="5"/>
        <v>מלגה</v>
      </c>
      <c r="T11" s="58">
        <f t="shared" si="6"/>
        <v>7</v>
      </c>
      <c r="U11" s="63">
        <f t="shared" si="7"/>
        <v>0.33300000000000002</v>
      </c>
    </row>
    <row r="12" spans="1:21">
      <c r="A12" s="87"/>
      <c r="B12" s="76">
        <v>9</v>
      </c>
      <c r="C12" s="29">
        <v>388923057</v>
      </c>
      <c r="D12" s="5" t="s">
        <v>5</v>
      </c>
      <c r="E12" s="5" t="s">
        <v>18</v>
      </c>
      <c r="F12" s="10">
        <v>8743644</v>
      </c>
      <c r="G12" s="13">
        <v>44141</v>
      </c>
      <c r="H12" s="37" t="s">
        <v>0</v>
      </c>
      <c r="I12" s="5">
        <v>60</v>
      </c>
      <c r="J12" s="5">
        <v>100</v>
      </c>
      <c r="K12" s="5">
        <v>80</v>
      </c>
      <c r="L12" s="16">
        <f t="shared" si="0"/>
        <v>80</v>
      </c>
      <c r="M12" s="5">
        <v>40</v>
      </c>
      <c r="N12" s="5">
        <v>61</v>
      </c>
      <c r="O12" s="19">
        <f t="shared" si="1"/>
        <v>60</v>
      </c>
      <c r="P12" s="5" t="str">
        <f t="shared" si="2"/>
        <v>עובר</v>
      </c>
      <c r="Q12" s="5" t="str">
        <f t="shared" si="3"/>
        <v/>
      </c>
      <c r="R12" s="41" t="str">
        <f t="shared" si="4"/>
        <v>מלגה</v>
      </c>
      <c r="S12" s="58" t="str">
        <f t="shared" si="5"/>
        <v>מלגה</v>
      </c>
      <c r="T12" s="58">
        <f t="shared" si="6"/>
        <v>8</v>
      </c>
      <c r="U12" s="63">
        <f t="shared" si="7"/>
        <v>0.111</v>
      </c>
    </row>
    <row r="13" spans="1:21" ht="13.5" thickBot="1">
      <c r="A13" s="88"/>
      <c r="B13" s="77">
        <v>10</v>
      </c>
      <c r="C13" s="30">
        <v>244576280</v>
      </c>
      <c r="D13" s="7" t="s">
        <v>19</v>
      </c>
      <c r="E13" s="7" t="s">
        <v>18</v>
      </c>
      <c r="F13" s="11">
        <v>3252524</v>
      </c>
      <c r="G13" s="14">
        <v>44451</v>
      </c>
      <c r="H13" s="38" t="s">
        <v>0</v>
      </c>
      <c r="I13" s="7">
        <v>94</v>
      </c>
      <c r="J13" s="7">
        <v>100</v>
      </c>
      <c r="K13" s="7">
        <v>93</v>
      </c>
      <c r="L13" s="17">
        <f t="shared" si="0"/>
        <v>95.666666666666671</v>
      </c>
      <c r="M13" s="7">
        <v>95</v>
      </c>
      <c r="N13" s="7">
        <v>100</v>
      </c>
      <c r="O13" s="20">
        <f t="shared" si="1"/>
        <v>97</v>
      </c>
      <c r="P13" s="7" t="str">
        <f t="shared" si="2"/>
        <v>מצטיין</v>
      </c>
      <c r="Q13" s="7" t="str">
        <f t="shared" si="3"/>
        <v>מלגה</v>
      </c>
      <c r="R13" s="42" t="str">
        <f t="shared" si="4"/>
        <v>מלגה</v>
      </c>
      <c r="S13" s="57" t="str">
        <f t="shared" si="5"/>
        <v>מלגה</v>
      </c>
      <c r="T13" s="57">
        <f t="shared" si="6"/>
        <v>1</v>
      </c>
      <c r="U13" s="64">
        <f t="shared" si="7"/>
        <v>1</v>
      </c>
    </row>
    <row r="14" spans="1:21" ht="14.25" thickTop="1" thickBot="1">
      <c r="M14"/>
      <c r="N14"/>
    </row>
    <row r="15" spans="1:21" ht="12.75" customHeight="1" thickTop="1">
      <c r="A15" s="89" t="s">
        <v>47</v>
      </c>
      <c r="B15" s="67"/>
      <c r="C15" s="21" t="s">
        <v>20</v>
      </c>
      <c r="D15" s="21"/>
      <c r="E15" s="21"/>
      <c r="F15" s="21"/>
      <c r="G15" s="21"/>
      <c r="H15" s="21"/>
      <c r="I15" s="31">
        <f>AVERAGE(I4:I13)</f>
        <v>77.222222222222229</v>
      </c>
      <c r="J15" s="31">
        <f t="shared" ref="J15:O15" si="8">AVERAGE(J4:J13)</f>
        <v>85.888888888888886</v>
      </c>
      <c r="K15" s="31">
        <f t="shared" si="8"/>
        <v>85.333333333333329</v>
      </c>
      <c r="L15" s="31">
        <f t="shared" si="8"/>
        <v>82.033333333333331</v>
      </c>
      <c r="M15" s="31">
        <f t="shared" si="8"/>
        <v>83.5</v>
      </c>
      <c r="N15" s="31">
        <f t="shared" si="8"/>
        <v>73.444444444444443</v>
      </c>
      <c r="O15" s="32">
        <f t="shared" si="8"/>
        <v>74</v>
      </c>
    </row>
    <row r="16" spans="1:21">
      <c r="A16" s="90"/>
      <c r="B16" s="68"/>
      <c r="C16" s="5" t="s">
        <v>21</v>
      </c>
      <c r="D16" s="5"/>
      <c r="E16" s="5"/>
      <c r="F16" s="5"/>
      <c r="G16" s="5"/>
      <c r="H16" s="5"/>
      <c r="I16" s="16">
        <f>MEDIAN(I4:I13)</f>
        <v>81</v>
      </c>
      <c r="J16" s="16">
        <f t="shared" ref="J16:O16" si="9">MEDIAN(J4:J13)</f>
        <v>86</v>
      </c>
      <c r="K16" s="16">
        <f t="shared" si="9"/>
        <v>85</v>
      </c>
      <c r="L16" s="16">
        <f t="shared" si="9"/>
        <v>83.75</v>
      </c>
      <c r="M16" s="16">
        <f t="shared" si="9"/>
        <v>90</v>
      </c>
      <c r="N16" s="16">
        <f t="shared" si="9"/>
        <v>80</v>
      </c>
      <c r="O16" s="24">
        <f t="shared" si="9"/>
        <v>77</v>
      </c>
    </row>
    <row r="17" spans="1:15">
      <c r="A17" s="90"/>
      <c r="B17" s="68"/>
      <c r="C17" s="5" t="s">
        <v>22</v>
      </c>
      <c r="D17" s="5"/>
      <c r="E17" s="5"/>
      <c r="F17" s="5"/>
      <c r="G17" s="5"/>
      <c r="H17" s="5"/>
      <c r="I17" s="16" t="e">
        <f>MODE(I4:I13)</f>
        <v>#N/A</v>
      </c>
      <c r="J17" s="16">
        <f t="shared" ref="J17:O17" si="10">MODE(J4:J13)</f>
        <v>79</v>
      </c>
      <c r="K17" s="16">
        <f t="shared" si="10"/>
        <v>99</v>
      </c>
      <c r="L17" s="16" t="e">
        <f t="shared" si="10"/>
        <v>#N/A</v>
      </c>
      <c r="M17" s="16">
        <f t="shared" si="10"/>
        <v>99</v>
      </c>
      <c r="N17" s="16" t="e">
        <f t="shared" si="10"/>
        <v>#N/A</v>
      </c>
      <c r="O17" s="24">
        <f t="shared" si="10"/>
        <v>60</v>
      </c>
    </row>
    <row r="18" spans="1:15">
      <c r="A18" s="90"/>
      <c r="B18" s="68"/>
      <c r="C18" s="5" t="s">
        <v>23</v>
      </c>
      <c r="D18" s="5"/>
      <c r="E18" s="5"/>
      <c r="F18" s="5"/>
      <c r="G18" s="5"/>
      <c r="H18" s="5"/>
      <c r="I18" s="16">
        <f>MAX(I4:I13)</f>
        <v>94</v>
      </c>
      <c r="J18" s="16">
        <f t="shared" ref="J18:O18" si="11">MAX(J4:J13)</f>
        <v>100</v>
      </c>
      <c r="K18" s="16">
        <f t="shared" si="11"/>
        <v>99</v>
      </c>
      <c r="L18" s="16">
        <f t="shared" si="11"/>
        <v>95.666666666666671</v>
      </c>
      <c r="M18" s="16">
        <f t="shared" si="11"/>
        <v>100</v>
      </c>
      <c r="N18" s="16">
        <f t="shared" si="11"/>
        <v>100</v>
      </c>
      <c r="O18" s="24">
        <f t="shared" si="11"/>
        <v>97</v>
      </c>
    </row>
    <row r="19" spans="1:15">
      <c r="A19" s="90"/>
      <c r="B19" s="68"/>
      <c r="C19" s="5" t="s">
        <v>24</v>
      </c>
      <c r="D19" s="5"/>
      <c r="E19" s="5"/>
      <c r="F19" s="5"/>
      <c r="G19" s="5"/>
      <c r="H19" s="5"/>
      <c r="I19" s="16">
        <f>MIN(I4:I13)</f>
        <v>45</v>
      </c>
      <c r="J19" s="16">
        <f t="shared" ref="J19:O19" si="12">MIN(J4:J13)</f>
        <v>60</v>
      </c>
      <c r="K19" s="16">
        <f t="shared" si="12"/>
        <v>69</v>
      </c>
      <c r="L19" s="16">
        <f t="shared" si="12"/>
        <v>52.5</v>
      </c>
      <c r="M19" s="16">
        <f t="shared" si="12"/>
        <v>40</v>
      </c>
      <c r="N19" s="16">
        <f t="shared" si="12"/>
        <v>45</v>
      </c>
      <c r="O19" s="24">
        <f t="shared" si="12"/>
        <v>44</v>
      </c>
    </row>
    <row r="20" spans="1:15">
      <c r="A20" s="90"/>
      <c r="B20" s="68"/>
      <c r="C20" s="5" t="s">
        <v>43</v>
      </c>
      <c r="D20" s="5"/>
      <c r="E20" s="5"/>
      <c r="F20" s="5"/>
      <c r="G20" s="5"/>
      <c r="H20" s="5"/>
      <c r="I20" s="16">
        <f>STDEV(I4:I13)</f>
        <v>16.536155673083279</v>
      </c>
      <c r="J20" s="16">
        <f t="shared" ref="J20:O20" si="13">STDEV(J4:J13)</f>
        <v>13.166666666666675</v>
      </c>
      <c r="K20" s="16">
        <f t="shared" si="13"/>
        <v>10.428326807307105</v>
      </c>
      <c r="L20" s="16">
        <f t="shared" si="13"/>
        <v>11.67534069082849</v>
      </c>
      <c r="M20" s="16">
        <f t="shared" si="13"/>
        <v>20.23885152648517</v>
      </c>
      <c r="N20" s="16">
        <f t="shared" si="13"/>
        <v>19.190564811327921</v>
      </c>
      <c r="O20" s="24">
        <f t="shared" si="13"/>
        <v>15.818414023606231</v>
      </c>
    </row>
    <row r="21" spans="1:15">
      <c r="A21" s="90"/>
      <c r="B21" s="68"/>
      <c r="C21" s="5" t="s">
        <v>44</v>
      </c>
      <c r="D21" s="5"/>
      <c r="E21" s="5"/>
      <c r="F21" s="5"/>
      <c r="G21" s="5"/>
      <c r="H21" s="5"/>
      <c r="I21" s="16">
        <f>VAR(I4:I13)</f>
        <v>273.44444444444434</v>
      </c>
      <c r="J21" s="16">
        <f t="shared" ref="J21:O21" si="14">VAR(J4:J13)</f>
        <v>173.36111111111131</v>
      </c>
      <c r="K21" s="16">
        <f t="shared" si="14"/>
        <v>108.75</v>
      </c>
      <c r="L21" s="16">
        <f t="shared" si="14"/>
        <v>136.31358024691548</v>
      </c>
      <c r="M21" s="16">
        <f t="shared" si="14"/>
        <v>409.61111111111109</v>
      </c>
      <c r="N21" s="16">
        <f t="shared" si="14"/>
        <v>368.27777777777737</v>
      </c>
      <c r="O21" s="24">
        <f t="shared" si="14"/>
        <v>250.22222222222223</v>
      </c>
    </row>
    <row r="22" spans="1:15">
      <c r="A22" s="90"/>
      <c r="B22" s="68"/>
      <c r="C22" s="5" t="s">
        <v>37</v>
      </c>
      <c r="D22" s="5"/>
      <c r="E22" s="5"/>
      <c r="F22" s="5"/>
      <c r="G22" s="5"/>
      <c r="H22" s="5"/>
      <c r="I22" s="5">
        <f>COUNT(I4:I13)</f>
        <v>9</v>
      </c>
      <c r="J22" s="5">
        <f t="shared" ref="J22:O22" si="15">COUNT(J4:J13)</f>
        <v>9</v>
      </c>
      <c r="K22" s="5">
        <f t="shared" si="15"/>
        <v>9</v>
      </c>
      <c r="L22" s="5">
        <f t="shared" si="15"/>
        <v>10</v>
      </c>
      <c r="M22" s="5">
        <f t="shared" si="15"/>
        <v>10</v>
      </c>
      <c r="N22" s="5">
        <f t="shared" si="15"/>
        <v>9</v>
      </c>
      <c r="O22" s="6">
        <f t="shared" si="15"/>
        <v>10</v>
      </c>
    </row>
    <row r="23" spans="1:15">
      <c r="A23" s="90"/>
      <c r="B23" s="68"/>
      <c r="C23" s="5" t="s">
        <v>25</v>
      </c>
      <c r="D23" s="5"/>
      <c r="E23" s="5"/>
      <c r="F23" s="5"/>
      <c r="G23" s="5"/>
      <c r="H23" s="5"/>
      <c r="I23" s="5">
        <f>COUNTIF(I4:I13,"&lt;"&amp;$D$41)</f>
        <v>1</v>
      </c>
      <c r="J23" s="5">
        <f t="shared" ref="J23:O23" si="16">COUNTIF(J4:J13,"&lt;"&amp;$D$41)</f>
        <v>0</v>
      </c>
      <c r="K23" s="5">
        <f t="shared" si="16"/>
        <v>0</v>
      </c>
      <c r="L23" s="5">
        <f t="shared" si="16"/>
        <v>1</v>
      </c>
      <c r="M23" s="5">
        <f t="shared" si="16"/>
        <v>2</v>
      </c>
      <c r="N23" s="5">
        <f t="shared" si="16"/>
        <v>2</v>
      </c>
      <c r="O23" s="23">
        <f t="shared" si="16"/>
        <v>1</v>
      </c>
    </row>
    <row r="24" spans="1:15">
      <c r="A24" s="90"/>
      <c r="B24" s="68"/>
      <c r="C24" s="5" t="s">
        <v>52</v>
      </c>
      <c r="D24" s="5"/>
      <c r="E24" s="5"/>
      <c r="F24" s="5"/>
      <c r="G24" s="5"/>
      <c r="H24" s="5"/>
      <c r="I24" s="5">
        <f>COUNTIFS(I4:I13,"&gt;="&amp;$D$41,I4:I13,"&lt;"&amp;$D$42)</f>
        <v>4</v>
      </c>
      <c r="J24" s="5">
        <f t="shared" ref="J24:O24" si="17">COUNTIFS(J4:J13,"&gt;="&amp;$D$41,J4:J13,"&lt;"&amp;$D$42)</f>
        <v>4</v>
      </c>
      <c r="K24" s="5">
        <f t="shared" si="17"/>
        <v>4</v>
      </c>
      <c r="L24" s="5">
        <f t="shared" si="17"/>
        <v>5</v>
      </c>
      <c r="M24" s="5">
        <f t="shared" si="17"/>
        <v>1</v>
      </c>
      <c r="N24" s="5">
        <f t="shared" si="17"/>
        <v>4</v>
      </c>
      <c r="O24" s="23">
        <f t="shared" si="17"/>
        <v>6</v>
      </c>
    </row>
    <row r="25" spans="1:15">
      <c r="A25" s="90"/>
      <c r="B25" s="68"/>
      <c r="C25" s="5" t="s">
        <v>53</v>
      </c>
      <c r="D25" s="5"/>
      <c r="E25" s="5"/>
      <c r="F25" s="5"/>
      <c r="G25" s="5"/>
      <c r="H25" s="5"/>
      <c r="I25" s="5">
        <f>COUNTIF(I4:I13,F42)</f>
        <v>4</v>
      </c>
      <c r="J25" s="5">
        <f t="shared" ref="J25:O25" si="18">COUNTIF(J4:J13,"&gt;="&amp;$D$42)</f>
        <v>5</v>
      </c>
      <c r="K25" s="5">
        <f t="shared" si="18"/>
        <v>5</v>
      </c>
      <c r="L25" s="5">
        <f t="shared" si="18"/>
        <v>4</v>
      </c>
      <c r="M25" s="5">
        <f t="shared" si="18"/>
        <v>7</v>
      </c>
      <c r="N25" s="5">
        <f t="shared" si="18"/>
        <v>3</v>
      </c>
      <c r="O25" s="23">
        <f t="shared" si="18"/>
        <v>3</v>
      </c>
    </row>
    <row r="26" spans="1:15">
      <c r="A26" s="90"/>
      <c r="B26" s="69"/>
      <c r="C26" s="37" t="s">
        <v>60</v>
      </c>
      <c r="D26" s="5" t="str">
        <f>C45</f>
        <v>סטודנטים</v>
      </c>
      <c r="E26" s="5"/>
      <c r="F26" s="5"/>
      <c r="G26" s="5"/>
      <c r="H26" s="5"/>
      <c r="I26" s="5">
        <f>COUNTIFS($E$4:$E$13,$D$45,I4:I13,"&gt;="&amp;$D$42)</f>
        <v>3</v>
      </c>
      <c r="J26" s="5">
        <f t="shared" ref="J26:O26" si="19">COUNTIFS($E$4:$E$13,$D$45,J4:J13,"&gt;="&amp;$D$42)</f>
        <v>2</v>
      </c>
      <c r="K26" s="5">
        <f t="shared" si="19"/>
        <v>3</v>
      </c>
      <c r="L26" s="5">
        <f t="shared" si="19"/>
        <v>3</v>
      </c>
      <c r="M26" s="5">
        <f t="shared" si="19"/>
        <v>3</v>
      </c>
      <c r="N26" s="5">
        <f t="shared" si="19"/>
        <v>0</v>
      </c>
      <c r="O26" s="6">
        <f t="shared" si="19"/>
        <v>1</v>
      </c>
    </row>
    <row r="27" spans="1:15">
      <c r="A27" s="91"/>
      <c r="B27" s="70"/>
      <c r="C27" s="43"/>
      <c r="D27" s="5" t="str">
        <f>C46</f>
        <v>סטודנטיות</v>
      </c>
      <c r="E27" s="43"/>
      <c r="F27" s="43"/>
      <c r="G27" s="43"/>
      <c r="H27" s="43"/>
      <c r="I27" s="43">
        <f>COUNTIFS($E$4:$E$13,$D$46,I4:I13,$F$42)</f>
        <v>1</v>
      </c>
      <c r="J27" s="43">
        <f t="shared" ref="J27:O27" si="20">COUNTIFS($E$4:$E$13,$D$46,J4:J13,$F$42)</f>
        <v>3</v>
      </c>
      <c r="K27" s="43">
        <f t="shared" si="20"/>
        <v>2</v>
      </c>
      <c r="L27" s="43">
        <f t="shared" si="20"/>
        <v>1</v>
      </c>
      <c r="M27" s="43">
        <f t="shared" si="20"/>
        <v>4</v>
      </c>
      <c r="N27" s="43">
        <f t="shared" si="20"/>
        <v>3</v>
      </c>
      <c r="O27" s="44">
        <f t="shared" si="20"/>
        <v>2</v>
      </c>
    </row>
    <row r="28" spans="1:15">
      <c r="A28" s="91"/>
      <c r="B28" s="70"/>
      <c r="C28" s="43" t="s">
        <v>38</v>
      </c>
      <c r="D28" s="43"/>
      <c r="E28" s="43">
        <f>COUNTA(D4:D13)</f>
        <v>10</v>
      </c>
      <c r="F28" s="43"/>
      <c r="G28" s="43"/>
      <c r="H28" s="47" t="s">
        <v>63</v>
      </c>
      <c r="I28" s="48">
        <f>AVERAGEIFS(I4:I13,I4:I13,"&gt;="&amp;$D$41,I4:I13,"&lt;"&amp;$D$42)</f>
        <v>72</v>
      </c>
      <c r="J28" s="48">
        <f t="shared" ref="J28:O28" si="21">AVERAGEIFS(J4:J13,J4:J13,"&gt;="&amp;$D$41,J4:J13,"&lt;"&amp;$D$42)</f>
        <v>74.5</v>
      </c>
      <c r="K28" s="48">
        <f t="shared" si="21"/>
        <v>76.25</v>
      </c>
      <c r="L28" s="48">
        <f t="shared" si="21"/>
        <v>81.36666666666666</v>
      </c>
      <c r="M28" s="48">
        <f t="shared" si="21"/>
        <v>81</v>
      </c>
      <c r="N28" s="48">
        <f t="shared" si="21"/>
        <v>71.75</v>
      </c>
      <c r="O28" s="49">
        <f t="shared" si="21"/>
        <v>70.833333333333329</v>
      </c>
    </row>
    <row r="29" spans="1:15">
      <c r="A29" s="91"/>
      <c r="B29" s="71"/>
      <c r="C29" s="37" t="s">
        <v>60</v>
      </c>
      <c r="D29" s="43" t="str">
        <f>C45</f>
        <v>סטודנטים</v>
      </c>
      <c r="E29" s="43">
        <f>COUNTIF(E4:E13,D45)</f>
        <v>4</v>
      </c>
      <c r="F29" s="43"/>
      <c r="G29" s="43"/>
      <c r="H29" s="46" t="s">
        <v>62</v>
      </c>
      <c r="I29" s="48">
        <f>AVERAGEIF($E$4:$E$13,$D45,I$4:I$13)</f>
        <v>89.333333333333329</v>
      </c>
      <c r="J29" s="48">
        <f t="shared" ref="J29:O29" si="22">AVERAGEIF($E$4:$E$13,$D45,J$4:J$13)</f>
        <v>83.5</v>
      </c>
      <c r="K29" s="48">
        <f t="shared" si="22"/>
        <v>89.25</v>
      </c>
      <c r="L29" s="48">
        <f t="shared" si="22"/>
        <v>87.333333333333329</v>
      </c>
      <c r="M29" s="48">
        <f t="shared" si="22"/>
        <v>85</v>
      </c>
      <c r="N29" s="48">
        <f t="shared" si="22"/>
        <v>60</v>
      </c>
      <c r="O29" s="49">
        <f t="shared" si="22"/>
        <v>73.75</v>
      </c>
    </row>
    <row r="30" spans="1:15" ht="13.5" thickBot="1">
      <c r="A30" s="92"/>
      <c r="B30" s="72"/>
      <c r="C30" s="7"/>
      <c r="D30" s="7" t="str">
        <f>C46</f>
        <v>סטודנטיות</v>
      </c>
      <c r="E30" s="7">
        <f>COUNTIF(E4:E13,D46)</f>
        <v>6</v>
      </c>
      <c r="F30" s="7"/>
      <c r="G30" s="7"/>
      <c r="H30" s="7" t="s">
        <v>62</v>
      </c>
      <c r="I30" s="50">
        <f t="shared" ref="I30:O30" si="23">AVERAGEIF($E$4:$E$13,$D46,I$4:I$13)</f>
        <v>71.166666666666671</v>
      </c>
      <c r="J30" s="52">
        <f t="shared" si="23"/>
        <v>87.8</v>
      </c>
      <c r="K30" s="50">
        <f t="shared" si="23"/>
        <v>82.2</v>
      </c>
      <c r="L30" s="50">
        <f t="shared" si="23"/>
        <v>78.5</v>
      </c>
      <c r="M30" s="50">
        <f t="shared" si="23"/>
        <v>82.5</v>
      </c>
      <c r="N30" s="50">
        <f t="shared" si="23"/>
        <v>84.2</v>
      </c>
      <c r="O30" s="51">
        <f t="shared" si="23"/>
        <v>74.166666666666671</v>
      </c>
    </row>
    <row r="31" spans="1:15" ht="14.25" thickTop="1" thickBot="1">
      <c r="M31"/>
      <c r="N31"/>
    </row>
    <row r="32" spans="1:15" ht="13.5" thickTop="1">
      <c r="A32" s="80" t="s">
        <v>48</v>
      </c>
      <c r="B32" s="67"/>
      <c r="C32" s="21" t="s">
        <v>26</v>
      </c>
      <c r="D32" s="33">
        <v>0.1</v>
      </c>
      <c r="M32"/>
      <c r="N32"/>
    </row>
    <row r="33" spans="1:15">
      <c r="A33" s="81"/>
      <c r="B33" s="68"/>
      <c r="C33" s="5" t="s">
        <v>27</v>
      </c>
      <c r="D33" s="34">
        <v>0.1</v>
      </c>
      <c r="M33"/>
      <c r="N33"/>
    </row>
    <row r="34" spans="1:15">
      <c r="A34" s="81"/>
      <c r="B34" s="68"/>
      <c r="C34" s="5" t="s">
        <v>28</v>
      </c>
      <c r="D34" s="34">
        <v>0.1</v>
      </c>
      <c r="M34"/>
      <c r="N34"/>
    </row>
    <row r="35" spans="1:15">
      <c r="A35" s="81"/>
      <c r="B35" s="68"/>
      <c r="C35" s="5" t="s">
        <v>29</v>
      </c>
      <c r="D35" s="34">
        <v>0.3</v>
      </c>
      <c r="M35"/>
      <c r="N35"/>
    </row>
    <row r="36" spans="1:15">
      <c r="A36" s="81"/>
      <c r="B36" s="68"/>
      <c r="C36" s="5" t="s">
        <v>30</v>
      </c>
      <c r="D36" s="34">
        <v>0.4</v>
      </c>
      <c r="M36"/>
      <c r="N36"/>
    </row>
    <row r="37" spans="1:15" ht="13.5" thickBot="1">
      <c r="A37" s="82"/>
      <c r="B37" s="72"/>
      <c r="C37" s="7" t="s">
        <v>31</v>
      </c>
      <c r="D37" s="35">
        <f>SUM(D32:D36)</f>
        <v>1</v>
      </c>
      <c r="M37"/>
      <c r="N37"/>
    </row>
    <row r="38" spans="1:15" ht="12.75" customHeight="1" thickTop="1" thickBot="1">
      <c r="M38"/>
      <c r="N38"/>
    </row>
    <row r="39" spans="1:15" ht="13.5" thickTop="1">
      <c r="A39" s="80" t="s">
        <v>49</v>
      </c>
      <c r="B39" s="67"/>
      <c r="C39" s="21"/>
      <c r="D39" s="21" t="s">
        <v>32</v>
      </c>
      <c r="E39" s="22" t="s">
        <v>33</v>
      </c>
      <c r="M39"/>
      <c r="N39"/>
      <c r="O39" s="1"/>
    </row>
    <row r="40" spans="1:15">
      <c r="A40" s="81"/>
      <c r="B40" s="68"/>
      <c r="C40" s="5" t="s">
        <v>34</v>
      </c>
      <c r="D40" s="16">
        <v>0</v>
      </c>
      <c r="E40" s="24">
        <v>59.49</v>
      </c>
      <c r="F40" s="3"/>
      <c r="G40" s="3"/>
      <c r="H40" s="3"/>
      <c r="M40"/>
      <c r="N40"/>
      <c r="O40" s="2"/>
    </row>
    <row r="41" spans="1:15">
      <c r="A41" s="81"/>
      <c r="B41" s="68"/>
      <c r="C41" s="5" t="s">
        <v>35</v>
      </c>
      <c r="D41" s="16">
        <v>59.5</v>
      </c>
      <c r="E41" s="24">
        <v>84.49</v>
      </c>
      <c r="F41" s="3"/>
      <c r="G41" s="3"/>
      <c r="H41" s="3"/>
      <c r="M41"/>
      <c r="N41"/>
      <c r="O41" s="1"/>
    </row>
    <row r="42" spans="1:15" ht="13.5" thickBot="1">
      <c r="A42" s="82"/>
      <c r="B42" s="72"/>
      <c r="C42" s="7" t="s">
        <v>36</v>
      </c>
      <c r="D42" s="17">
        <f>84.5</f>
        <v>84.5</v>
      </c>
      <c r="E42" s="25">
        <v>100</v>
      </c>
      <c r="F42" s="45" t="s">
        <v>61</v>
      </c>
      <c r="G42" s="3"/>
      <c r="H42" s="3"/>
      <c r="M42"/>
      <c r="N42"/>
      <c r="O42" s="1"/>
    </row>
    <row r="43" spans="1:15" ht="14.25" thickTop="1" thickBot="1"/>
    <row r="44" spans="1:15" ht="13.5" thickTop="1">
      <c r="A44" s="80" t="s">
        <v>58</v>
      </c>
      <c r="B44" s="73"/>
      <c r="C44" s="83" t="s">
        <v>8</v>
      </c>
      <c r="D44" s="84"/>
    </row>
    <row r="45" spans="1:15">
      <c r="A45" s="81"/>
      <c r="B45" s="68"/>
      <c r="C45" s="5" t="s">
        <v>56</v>
      </c>
      <c r="D45" s="24" t="s">
        <v>17</v>
      </c>
    </row>
    <row r="46" spans="1:15" ht="13.5" thickBot="1">
      <c r="A46" s="82"/>
      <c r="B46" s="72"/>
      <c r="C46" s="7" t="s">
        <v>57</v>
      </c>
      <c r="D46" s="25" t="s">
        <v>18</v>
      </c>
    </row>
    <row r="47" spans="1:15" ht="13.5" thickTop="1"/>
    <row r="48" spans="1:15" ht="38.25">
      <c r="C48" s="78" t="s">
        <v>71</v>
      </c>
      <c r="D48" s="79"/>
    </row>
  </sheetData>
  <mergeCells count="7">
    <mergeCell ref="A44:A46"/>
    <mergeCell ref="C44:D44"/>
    <mergeCell ref="A1:S1"/>
    <mergeCell ref="A3:A13"/>
    <mergeCell ref="A15:A30"/>
    <mergeCell ref="A32:A37"/>
    <mergeCell ref="A39:A42"/>
  </mergeCells>
  <conditionalFormatting sqref="B4:C13">
    <cfRule type="duplicateValues" dxfId="27" priority="17"/>
  </conditionalFormatting>
  <conditionalFormatting sqref="O4:O13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5">
      <iconSet iconSet="3Symbols2">
        <cfvo type="percent" val="0"/>
        <cfvo type="percent" val="33"/>
        <cfvo type="percent" val="67"/>
      </iconSet>
    </cfRule>
    <cfRule type="dataBar" priority="16">
      <dataBar>
        <cfvo type="min"/>
        <cfvo type="max"/>
        <color rgb="FF008AEF"/>
      </dataBar>
    </cfRule>
  </conditionalFormatting>
  <conditionalFormatting sqref="P4:P13">
    <cfRule type="cellIs" dxfId="26" priority="11" operator="equal">
      <formula>$C$40</formula>
    </cfRule>
    <cfRule type="cellIs" dxfId="25" priority="12" operator="equal">
      <formula>$C$41</formula>
    </cfRule>
    <cfRule type="cellIs" dxfId="24" priority="13" operator="equal">
      <formula>$C$42</formula>
    </cfRule>
  </conditionalFormatting>
  <conditionalFormatting sqref="B4:R13">
    <cfRule type="expression" dxfId="23" priority="10">
      <formula>$P4=$C$40</formula>
    </cfRule>
  </conditionalFormatting>
  <conditionalFormatting sqref="B8:C8">
    <cfRule type="duplicateValues" dxfId="22" priority="9"/>
  </conditionalFormatting>
  <conditionalFormatting sqref="B8:C8">
    <cfRule type="expression" dxfId="21" priority="8">
      <formula>$P8=$C$40</formula>
    </cfRule>
  </conditionalFormatting>
  <conditionalFormatting sqref="B8:C8">
    <cfRule type="duplicateValues" dxfId="20" priority="7"/>
  </conditionalFormatting>
  <conditionalFormatting sqref="B8:C8">
    <cfRule type="expression" dxfId="19" priority="6">
      <formula>$P8=$C$40</formula>
    </cfRule>
  </conditionalFormatting>
  <conditionalFormatting sqref="T5:T13">
    <cfRule type="expression" dxfId="18" priority="5">
      <formula>$P5=$C$40</formula>
    </cfRule>
  </conditionalFormatting>
  <conditionalFormatting sqref="U5:U13">
    <cfRule type="expression" dxfId="17" priority="4">
      <formula>$P5=$C$40</formula>
    </cfRule>
  </conditionalFormatting>
  <conditionalFormatting sqref="S4:S13">
    <cfRule type="expression" dxfId="16" priority="3">
      <formula>$P4=$C$40</formula>
    </cfRule>
  </conditionalFormatting>
  <conditionalFormatting sqref="T4">
    <cfRule type="expression" dxfId="15" priority="2">
      <formula>$P4=$C$40</formula>
    </cfRule>
  </conditionalFormatting>
  <conditionalFormatting sqref="U4:U13">
    <cfRule type="expression" dxfId="14" priority="1">
      <formula>$P4=$C$40</formula>
    </cfRule>
  </conditionalFormatting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$C$45:$C$46</formula1>
    </dataValidation>
    <dataValidation type="whole" allowBlank="1" showInputMessage="1" showErrorMessage="1" sqref="I4:K13 M4:N13">
      <formula1>$D$40</formula1>
      <formula2>$E$42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2" width="4.7109375" customWidth="1"/>
    <col min="3" max="3" width="14.7109375" bestFit="1" customWidth="1"/>
    <col min="4" max="4" width="8.42578125" bestFit="1" customWidth="1"/>
    <col min="5" max="5" width="6.5703125" bestFit="1" customWidth="1"/>
    <col min="6" max="6" width="8.5703125" bestFit="1" customWidth="1"/>
    <col min="7" max="7" width="8.42578125" bestFit="1" customWidth="1"/>
    <col min="8" max="8" width="8.140625" bestFit="1" customWidth="1"/>
    <col min="9" max="11" width="6.5703125" customWidth="1"/>
    <col min="12" max="12" width="8" bestFit="1" customWidth="1"/>
    <col min="13" max="14" width="6.5703125" style="1" bestFit="1" customWidth="1"/>
    <col min="15" max="15" width="7.7109375" bestFit="1" customWidth="1"/>
    <col min="16" max="16" width="6.28515625" bestFit="1" customWidth="1"/>
    <col min="17" max="17" width="8" bestFit="1" customWidth="1"/>
    <col min="18" max="18" width="7.85546875" bestFit="1" customWidth="1"/>
    <col min="19" max="19" width="7" bestFit="1" customWidth="1"/>
  </cols>
  <sheetData>
    <row r="1" spans="1:21" ht="30.7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3.5" thickBot="1"/>
    <row r="3" spans="1:21" s="4" customFormat="1" ht="27" thickTop="1" thickBot="1">
      <c r="A3" s="86" t="s">
        <v>46</v>
      </c>
      <c r="B3" s="74" t="s">
        <v>70</v>
      </c>
      <c r="C3" s="27" t="s">
        <v>41</v>
      </c>
      <c r="D3" s="26" t="s">
        <v>1</v>
      </c>
      <c r="E3" s="26" t="s">
        <v>8</v>
      </c>
      <c r="F3" s="26" t="s">
        <v>51</v>
      </c>
      <c r="G3" s="26" t="s">
        <v>50</v>
      </c>
      <c r="H3" s="26" t="s">
        <v>54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39</v>
      </c>
      <c r="R3" s="39" t="s">
        <v>40</v>
      </c>
      <c r="S3" s="61" t="s">
        <v>59</v>
      </c>
      <c r="T3" s="61" t="s">
        <v>65</v>
      </c>
      <c r="U3" s="60" t="s">
        <v>64</v>
      </c>
    </row>
    <row r="4" spans="1:21">
      <c r="A4" s="87"/>
      <c r="B4" s="75">
        <v>1</v>
      </c>
      <c r="C4" s="28">
        <v>123456789</v>
      </c>
      <c r="D4" s="8" t="s">
        <v>2</v>
      </c>
      <c r="E4" s="8" t="s">
        <v>17</v>
      </c>
      <c r="F4" s="9">
        <v>9877665</v>
      </c>
      <c r="G4" s="12">
        <v>123</v>
      </c>
      <c r="H4" s="36" t="s">
        <v>55</v>
      </c>
      <c r="I4" s="8">
        <v>89</v>
      </c>
      <c r="J4" s="8">
        <v>86</v>
      </c>
      <c r="K4" s="8">
        <v>99</v>
      </c>
      <c r="L4" s="15">
        <f>AVERAGE(I4:K4)</f>
        <v>91.333333333333329</v>
      </c>
      <c r="M4" s="8">
        <v>99</v>
      </c>
      <c r="N4" s="8">
        <v>80</v>
      </c>
      <c r="O4" s="18">
        <f>ROUND(I4*$D$32+J4*$D$33+K4*$D$34+M4*$D$35+N4*$D$36,0)</f>
        <v>89</v>
      </c>
      <c r="P4" s="8" t="str">
        <f>IF(O4&lt;$D$41,$C$40,IF(O4&lt;$D$42,$C$41,$C$42))</f>
        <v>מצטיין</v>
      </c>
      <c r="Q4" s="8" t="str">
        <f>IF(AND(E4=$D$46,P4=$C$42),"מלגה","")</f>
        <v/>
      </c>
      <c r="R4" s="40" t="str">
        <f>IF(OR(E4=$D$46,P4=$C$42),"מלגה","")</f>
        <v>מלגה</v>
      </c>
      <c r="S4" s="59" t="str">
        <f>IF(NOT(O4&lt;$D$41),"מלגה","")</f>
        <v>מלגה</v>
      </c>
      <c r="T4" s="59">
        <f>RANK(O4,$O$4:$O$13,0)</f>
        <v>2</v>
      </c>
      <c r="U4" s="62">
        <f>PERCENTRANK($O$4:$O$13,O4)</f>
        <v>0.88800000000000001</v>
      </c>
    </row>
    <row r="5" spans="1:21">
      <c r="A5" s="87"/>
      <c r="B5" s="76">
        <v>2</v>
      </c>
      <c r="C5" s="29">
        <v>193878400</v>
      </c>
      <c r="D5" s="5" t="s">
        <v>3</v>
      </c>
      <c r="E5" s="5" t="s">
        <v>18</v>
      </c>
      <c r="F5" s="10">
        <v>9876544</v>
      </c>
      <c r="G5" s="13">
        <v>70000</v>
      </c>
      <c r="H5" s="37" t="s">
        <v>55</v>
      </c>
      <c r="I5" s="5">
        <v>81</v>
      </c>
      <c r="J5" s="5">
        <v>80</v>
      </c>
      <c r="K5" s="5">
        <v>82</v>
      </c>
      <c r="L5" s="16">
        <f t="shared" ref="L5:L13" si="0">AVERAGE(I5:K5)</f>
        <v>81</v>
      </c>
      <c r="M5" s="5">
        <v>81</v>
      </c>
      <c r="N5" s="5">
        <v>81</v>
      </c>
      <c r="O5" s="19">
        <f t="shared" ref="O5:O13" si="1">ROUND(I5*$D$32+J5*$D$33+K5*$D$34+M5*$D$35+N5*$D$36,0)</f>
        <v>81</v>
      </c>
      <c r="P5" s="5" t="str">
        <f t="shared" ref="P5:P13" si="2">IF(O5&lt;$D$41,$C$40,IF(O5&lt;$D$42,$C$41,$C$42))</f>
        <v>עובר</v>
      </c>
      <c r="Q5" s="5" t="str">
        <f t="shared" ref="Q5:Q13" si="3">IF(AND(E5=$D$46,P5=$C$42),"מלגה","")</f>
        <v/>
      </c>
      <c r="R5" s="41" t="str">
        <f t="shared" ref="R5:R13" si="4">IF(OR(E5=$D$46,P5=$C$42),"מלגה","")</f>
        <v>מלגה</v>
      </c>
      <c r="S5" s="58" t="str">
        <f t="shared" ref="S5:S13" si="5">IF(NOT(O5&lt;$D$41),"מלגה","")</f>
        <v>מלגה</v>
      </c>
      <c r="T5" s="58">
        <f t="shared" ref="T5:T13" si="6">RANK(O5,$O$4:$O$13,0)</f>
        <v>4</v>
      </c>
      <c r="U5" s="63">
        <f t="shared" ref="U5:U13" si="7">PERCENTRANK($O$4:$O$13,O5)</f>
        <v>0.66600000000000004</v>
      </c>
    </row>
    <row r="6" spans="1:21">
      <c r="A6" s="87"/>
      <c r="B6" s="76">
        <v>3</v>
      </c>
      <c r="C6" s="29">
        <v>658370843</v>
      </c>
      <c r="D6" s="5" t="s">
        <v>4</v>
      </c>
      <c r="E6" s="5" t="s">
        <v>18</v>
      </c>
      <c r="F6" s="10">
        <v>2118758</v>
      </c>
      <c r="G6" s="13">
        <v>55326</v>
      </c>
      <c r="H6" s="37" t="s">
        <v>55</v>
      </c>
      <c r="I6" s="5">
        <v>67</v>
      </c>
      <c r="J6" s="5">
        <v>99</v>
      </c>
      <c r="K6" s="5">
        <v>69</v>
      </c>
      <c r="L6" s="16">
        <f t="shared" si="0"/>
        <v>78.333333333333329</v>
      </c>
      <c r="M6" s="5">
        <v>90</v>
      </c>
      <c r="N6" s="5">
        <v>85</v>
      </c>
      <c r="O6" s="19">
        <f t="shared" si="1"/>
        <v>85</v>
      </c>
      <c r="P6" s="5" t="str">
        <f t="shared" si="2"/>
        <v>מצטיין</v>
      </c>
      <c r="Q6" s="5" t="str">
        <f t="shared" si="3"/>
        <v>מלגה</v>
      </c>
      <c r="R6" s="41" t="str">
        <f t="shared" si="4"/>
        <v>מלגה</v>
      </c>
      <c r="S6" s="58" t="str">
        <f t="shared" si="5"/>
        <v>מלגה</v>
      </c>
      <c r="T6" s="58">
        <f t="shared" si="6"/>
        <v>3</v>
      </c>
      <c r="U6" s="63">
        <f t="shared" si="7"/>
        <v>0.77700000000000002</v>
      </c>
    </row>
    <row r="7" spans="1:21">
      <c r="A7" s="87"/>
      <c r="B7" s="76">
        <v>4</v>
      </c>
      <c r="C7" s="29">
        <v>830998987</v>
      </c>
      <c r="D7" s="5" t="s">
        <v>5</v>
      </c>
      <c r="E7" s="5" t="s">
        <v>18</v>
      </c>
      <c r="F7" s="10">
        <v>3527439</v>
      </c>
      <c r="G7" s="13">
        <v>56324</v>
      </c>
      <c r="H7" s="37" t="s">
        <v>55</v>
      </c>
      <c r="I7" s="5">
        <v>80</v>
      </c>
      <c r="J7" s="5"/>
      <c r="K7" s="5">
        <v>87</v>
      </c>
      <c r="L7" s="16">
        <f t="shared" si="0"/>
        <v>83.5</v>
      </c>
      <c r="M7" s="5">
        <v>90</v>
      </c>
      <c r="N7" s="5"/>
      <c r="O7" s="19">
        <f t="shared" si="1"/>
        <v>44</v>
      </c>
      <c r="P7" s="5" t="str">
        <f t="shared" si="2"/>
        <v>נכשל</v>
      </c>
      <c r="Q7" s="5" t="str">
        <f t="shared" si="3"/>
        <v/>
      </c>
      <c r="R7" s="41" t="str">
        <f t="shared" si="4"/>
        <v>מלגה</v>
      </c>
      <c r="S7" s="58" t="str">
        <f t="shared" si="5"/>
        <v/>
      </c>
      <c r="T7" s="58">
        <f t="shared" si="6"/>
        <v>10</v>
      </c>
      <c r="U7" s="63">
        <f t="shared" si="7"/>
        <v>0</v>
      </c>
    </row>
    <row r="8" spans="1:21">
      <c r="A8" s="87"/>
      <c r="B8" s="76">
        <v>5</v>
      </c>
      <c r="C8" s="29">
        <v>123456789</v>
      </c>
      <c r="D8" s="5" t="s">
        <v>42</v>
      </c>
      <c r="E8" s="5" t="s">
        <v>17</v>
      </c>
      <c r="F8" s="10">
        <v>7563094</v>
      </c>
      <c r="G8" s="13">
        <v>86534</v>
      </c>
      <c r="H8" s="37" t="s">
        <v>55</v>
      </c>
      <c r="I8" s="5">
        <v>91</v>
      </c>
      <c r="J8" s="5">
        <v>79</v>
      </c>
      <c r="K8" s="5">
        <v>85</v>
      </c>
      <c r="L8" s="16">
        <f t="shared" si="0"/>
        <v>85</v>
      </c>
      <c r="M8" s="5">
        <v>100</v>
      </c>
      <c r="N8" s="5">
        <v>50</v>
      </c>
      <c r="O8" s="19">
        <f t="shared" si="1"/>
        <v>76</v>
      </c>
      <c r="P8" s="5" t="str">
        <f t="shared" si="2"/>
        <v>עובר</v>
      </c>
      <c r="Q8" s="5" t="str">
        <f t="shared" si="3"/>
        <v/>
      </c>
      <c r="R8" s="41" t="str">
        <f t="shared" si="4"/>
        <v/>
      </c>
      <c r="S8" s="58" t="str">
        <f t="shared" si="5"/>
        <v>מלגה</v>
      </c>
      <c r="T8" s="58">
        <f t="shared" si="6"/>
        <v>6</v>
      </c>
      <c r="U8" s="63">
        <f t="shared" si="7"/>
        <v>0.44400000000000001</v>
      </c>
    </row>
    <row r="9" spans="1:21">
      <c r="A9" s="87"/>
      <c r="B9" s="76">
        <v>6</v>
      </c>
      <c r="C9" s="29">
        <v>298754355</v>
      </c>
      <c r="D9" s="5" t="s">
        <v>6</v>
      </c>
      <c r="E9" s="5" t="s">
        <v>17</v>
      </c>
      <c r="F9" s="10">
        <v>8763456</v>
      </c>
      <c r="G9" s="13">
        <v>83934</v>
      </c>
      <c r="H9" s="37" t="s">
        <v>0</v>
      </c>
      <c r="I9" s="5">
        <v>88</v>
      </c>
      <c r="J9" s="5">
        <v>90</v>
      </c>
      <c r="K9" s="5">
        <v>74</v>
      </c>
      <c r="L9" s="16">
        <f t="shared" si="0"/>
        <v>84</v>
      </c>
      <c r="M9" s="5">
        <v>55</v>
      </c>
      <c r="N9" s="5">
        <v>45</v>
      </c>
      <c r="O9" s="19">
        <f t="shared" si="1"/>
        <v>60</v>
      </c>
      <c r="P9" s="5" t="str">
        <f t="shared" si="2"/>
        <v>עובר</v>
      </c>
      <c r="Q9" s="5" t="str">
        <f t="shared" si="3"/>
        <v/>
      </c>
      <c r="R9" s="41" t="str">
        <f t="shared" si="4"/>
        <v/>
      </c>
      <c r="S9" s="58" t="str">
        <f t="shared" si="5"/>
        <v>מלגה</v>
      </c>
      <c r="T9" s="58">
        <f t="shared" si="6"/>
        <v>8</v>
      </c>
      <c r="U9" s="63">
        <f t="shared" si="7"/>
        <v>0.111</v>
      </c>
    </row>
    <row r="10" spans="1:21">
      <c r="A10" s="87"/>
      <c r="B10" s="76">
        <v>7</v>
      </c>
      <c r="C10" s="29">
        <v>983687692</v>
      </c>
      <c r="D10" s="5" t="s">
        <v>7</v>
      </c>
      <c r="E10" s="5" t="s">
        <v>18</v>
      </c>
      <c r="F10" s="10">
        <v>6347234</v>
      </c>
      <c r="G10" s="13">
        <v>55235</v>
      </c>
      <c r="H10" s="37" t="s">
        <v>0</v>
      </c>
      <c r="I10" s="5">
        <v>45</v>
      </c>
      <c r="J10" s="5">
        <v>60</v>
      </c>
      <c r="K10" s="5"/>
      <c r="L10" s="16">
        <f t="shared" si="0"/>
        <v>52.5</v>
      </c>
      <c r="M10" s="5">
        <v>99</v>
      </c>
      <c r="N10" s="5">
        <v>94</v>
      </c>
      <c r="O10" s="19">
        <f t="shared" si="1"/>
        <v>78</v>
      </c>
      <c r="P10" s="5" t="str">
        <f t="shared" si="2"/>
        <v>עובר</v>
      </c>
      <c r="Q10" s="5" t="str">
        <f t="shared" si="3"/>
        <v/>
      </c>
      <c r="R10" s="41" t="str">
        <f t="shared" si="4"/>
        <v>מלגה</v>
      </c>
      <c r="S10" s="58" t="str">
        <f t="shared" si="5"/>
        <v>מלגה</v>
      </c>
      <c r="T10" s="58">
        <f t="shared" si="6"/>
        <v>5</v>
      </c>
      <c r="U10" s="63">
        <f t="shared" si="7"/>
        <v>0.55500000000000005</v>
      </c>
    </row>
    <row r="11" spans="1:21">
      <c r="A11" s="87"/>
      <c r="B11" s="76">
        <v>8</v>
      </c>
      <c r="C11" s="29">
        <v>947465892</v>
      </c>
      <c r="D11" s="5" t="s">
        <v>19</v>
      </c>
      <c r="E11" s="5" t="s">
        <v>17</v>
      </c>
      <c r="F11" s="10">
        <v>3434324</v>
      </c>
      <c r="G11" s="13">
        <v>41466</v>
      </c>
      <c r="H11" s="37" t="s">
        <v>0</v>
      </c>
      <c r="I11" s="5"/>
      <c r="J11" s="5">
        <v>79</v>
      </c>
      <c r="K11" s="5">
        <v>99</v>
      </c>
      <c r="L11" s="16">
        <f t="shared" si="0"/>
        <v>89</v>
      </c>
      <c r="M11" s="5">
        <v>86</v>
      </c>
      <c r="N11" s="5">
        <v>65</v>
      </c>
      <c r="O11" s="19">
        <f t="shared" si="1"/>
        <v>70</v>
      </c>
      <c r="P11" s="5" t="str">
        <f t="shared" si="2"/>
        <v>עובר</v>
      </c>
      <c r="Q11" s="5" t="str">
        <f t="shared" si="3"/>
        <v/>
      </c>
      <c r="R11" s="41" t="str">
        <f t="shared" si="4"/>
        <v/>
      </c>
      <c r="S11" s="58" t="str">
        <f t="shared" si="5"/>
        <v>מלגה</v>
      </c>
      <c r="T11" s="58">
        <f t="shared" si="6"/>
        <v>7</v>
      </c>
      <c r="U11" s="63">
        <f t="shared" si="7"/>
        <v>0.33300000000000002</v>
      </c>
    </row>
    <row r="12" spans="1:21">
      <c r="A12" s="87"/>
      <c r="B12" s="76">
        <v>9</v>
      </c>
      <c r="C12" s="29">
        <v>388923057</v>
      </c>
      <c r="D12" s="5" t="s">
        <v>5</v>
      </c>
      <c r="E12" s="5" t="s">
        <v>18</v>
      </c>
      <c r="F12" s="10">
        <v>8743644</v>
      </c>
      <c r="G12" s="13">
        <v>44141</v>
      </c>
      <c r="H12" s="37" t="s">
        <v>0</v>
      </c>
      <c r="I12" s="5">
        <v>60</v>
      </c>
      <c r="J12" s="5">
        <v>100</v>
      </c>
      <c r="K12" s="5">
        <v>80</v>
      </c>
      <c r="L12" s="16">
        <f t="shared" si="0"/>
        <v>80</v>
      </c>
      <c r="M12" s="5">
        <v>40</v>
      </c>
      <c r="N12" s="5">
        <v>61</v>
      </c>
      <c r="O12" s="19">
        <f t="shared" si="1"/>
        <v>60</v>
      </c>
      <c r="P12" s="5" t="str">
        <f t="shared" si="2"/>
        <v>עובר</v>
      </c>
      <c r="Q12" s="5" t="str">
        <f t="shared" si="3"/>
        <v/>
      </c>
      <c r="R12" s="41" t="str">
        <f t="shared" si="4"/>
        <v>מלגה</v>
      </c>
      <c r="S12" s="58" t="str">
        <f t="shared" si="5"/>
        <v>מלגה</v>
      </c>
      <c r="T12" s="58">
        <f t="shared" si="6"/>
        <v>8</v>
      </c>
      <c r="U12" s="63">
        <f t="shared" si="7"/>
        <v>0.111</v>
      </c>
    </row>
    <row r="13" spans="1:21" ht="13.5" thickBot="1">
      <c r="A13" s="88"/>
      <c r="B13" s="77">
        <v>10</v>
      </c>
      <c r="C13" s="30">
        <v>244576280</v>
      </c>
      <c r="D13" s="7" t="s">
        <v>19</v>
      </c>
      <c r="E13" s="7" t="s">
        <v>18</v>
      </c>
      <c r="F13" s="11">
        <v>3252524</v>
      </c>
      <c r="G13" s="14">
        <v>44451</v>
      </c>
      <c r="H13" s="38" t="s">
        <v>0</v>
      </c>
      <c r="I13" s="7">
        <v>94</v>
      </c>
      <c r="J13" s="7">
        <v>100</v>
      </c>
      <c r="K13" s="7">
        <v>93</v>
      </c>
      <c r="L13" s="17">
        <f t="shared" si="0"/>
        <v>95.666666666666671</v>
      </c>
      <c r="M13" s="7">
        <v>95</v>
      </c>
      <c r="N13" s="7">
        <v>100</v>
      </c>
      <c r="O13" s="20">
        <f t="shared" si="1"/>
        <v>97</v>
      </c>
      <c r="P13" s="7" t="str">
        <f t="shared" si="2"/>
        <v>מצטיין</v>
      </c>
      <c r="Q13" s="7" t="str">
        <f t="shared" si="3"/>
        <v>מלגה</v>
      </c>
      <c r="R13" s="42" t="str">
        <f t="shared" si="4"/>
        <v>מלגה</v>
      </c>
      <c r="S13" s="57" t="str">
        <f t="shared" si="5"/>
        <v>מלגה</v>
      </c>
      <c r="T13" s="57">
        <f t="shared" si="6"/>
        <v>1</v>
      </c>
      <c r="U13" s="64">
        <f t="shared" si="7"/>
        <v>1</v>
      </c>
    </row>
    <row r="14" spans="1:21" ht="14.25" thickTop="1" thickBot="1">
      <c r="M14"/>
      <c r="N14"/>
    </row>
    <row r="15" spans="1:21" ht="12.75" customHeight="1" thickTop="1">
      <c r="A15" s="89" t="s">
        <v>47</v>
      </c>
      <c r="B15" s="67"/>
      <c r="C15" s="21" t="s">
        <v>20</v>
      </c>
      <c r="D15" s="21"/>
      <c r="E15" s="21"/>
      <c r="F15" s="21"/>
      <c r="G15" s="21"/>
      <c r="H15" s="21"/>
      <c r="I15" s="31">
        <f>AVERAGE(I4:I13)</f>
        <v>77.222222222222229</v>
      </c>
      <c r="J15" s="31">
        <f t="shared" ref="J15:O15" si="8">AVERAGE(J4:J13)</f>
        <v>85.888888888888886</v>
      </c>
      <c r="K15" s="31">
        <f t="shared" si="8"/>
        <v>85.333333333333329</v>
      </c>
      <c r="L15" s="31">
        <f t="shared" si="8"/>
        <v>82.033333333333331</v>
      </c>
      <c r="M15" s="31">
        <f t="shared" si="8"/>
        <v>83.5</v>
      </c>
      <c r="N15" s="31">
        <f t="shared" si="8"/>
        <v>73.444444444444443</v>
      </c>
      <c r="O15" s="32">
        <f t="shared" si="8"/>
        <v>74</v>
      </c>
    </row>
    <row r="16" spans="1:21">
      <c r="A16" s="90"/>
      <c r="B16" s="68"/>
      <c r="C16" s="5" t="s">
        <v>21</v>
      </c>
      <c r="D16" s="5"/>
      <c r="E16" s="5"/>
      <c r="F16" s="5"/>
      <c r="G16" s="5"/>
      <c r="H16" s="5"/>
      <c r="I16" s="16">
        <f>MEDIAN(I4:I13)</f>
        <v>81</v>
      </c>
      <c r="J16" s="16">
        <f t="shared" ref="J16:O16" si="9">MEDIAN(J4:J13)</f>
        <v>86</v>
      </c>
      <c r="K16" s="16">
        <f t="shared" si="9"/>
        <v>85</v>
      </c>
      <c r="L16" s="16">
        <f t="shared" si="9"/>
        <v>83.75</v>
      </c>
      <c r="M16" s="16">
        <f t="shared" si="9"/>
        <v>90</v>
      </c>
      <c r="N16" s="16">
        <f t="shared" si="9"/>
        <v>80</v>
      </c>
      <c r="O16" s="24">
        <f t="shared" si="9"/>
        <v>77</v>
      </c>
    </row>
    <row r="17" spans="1:15">
      <c r="A17" s="90"/>
      <c r="B17" s="68"/>
      <c r="C17" s="5" t="s">
        <v>22</v>
      </c>
      <c r="D17" s="5"/>
      <c r="E17" s="5"/>
      <c r="F17" s="5"/>
      <c r="G17" s="5"/>
      <c r="H17" s="5"/>
      <c r="I17" s="16" t="e">
        <f>MODE(I4:I13)</f>
        <v>#N/A</v>
      </c>
      <c r="J17" s="16">
        <f t="shared" ref="J17:O17" si="10">MODE(J4:J13)</f>
        <v>79</v>
      </c>
      <c r="K17" s="16">
        <f t="shared" si="10"/>
        <v>99</v>
      </c>
      <c r="L17" s="16" t="e">
        <f t="shared" si="10"/>
        <v>#N/A</v>
      </c>
      <c r="M17" s="16">
        <f t="shared" si="10"/>
        <v>99</v>
      </c>
      <c r="N17" s="16" t="e">
        <f t="shared" si="10"/>
        <v>#N/A</v>
      </c>
      <c r="O17" s="24">
        <f t="shared" si="10"/>
        <v>60</v>
      </c>
    </row>
    <row r="18" spans="1:15">
      <c r="A18" s="90"/>
      <c r="B18" s="68"/>
      <c r="C18" s="5" t="s">
        <v>23</v>
      </c>
      <c r="D18" s="5"/>
      <c r="E18" s="5"/>
      <c r="F18" s="5"/>
      <c r="G18" s="5"/>
      <c r="H18" s="5"/>
      <c r="I18" s="16">
        <f>MAX(I4:I13)</f>
        <v>94</v>
      </c>
      <c r="J18" s="16">
        <f t="shared" ref="J18:O18" si="11">MAX(J4:J13)</f>
        <v>100</v>
      </c>
      <c r="K18" s="16">
        <f t="shared" si="11"/>
        <v>99</v>
      </c>
      <c r="L18" s="16">
        <f t="shared" si="11"/>
        <v>95.666666666666671</v>
      </c>
      <c r="M18" s="16">
        <f t="shared" si="11"/>
        <v>100</v>
      </c>
      <c r="N18" s="16">
        <f t="shared" si="11"/>
        <v>100</v>
      </c>
      <c r="O18" s="24">
        <f t="shared" si="11"/>
        <v>97</v>
      </c>
    </row>
    <row r="19" spans="1:15">
      <c r="A19" s="90"/>
      <c r="B19" s="68"/>
      <c r="C19" s="5" t="s">
        <v>24</v>
      </c>
      <c r="D19" s="5"/>
      <c r="E19" s="5"/>
      <c r="F19" s="5"/>
      <c r="G19" s="5"/>
      <c r="H19" s="5"/>
      <c r="I19" s="16">
        <f>MIN(I4:I13)</f>
        <v>45</v>
      </c>
      <c r="J19" s="16">
        <f t="shared" ref="J19:O19" si="12">MIN(J4:J13)</f>
        <v>60</v>
      </c>
      <c r="K19" s="16">
        <f t="shared" si="12"/>
        <v>69</v>
      </c>
      <c r="L19" s="16">
        <f t="shared" si="12"/>
        <v>52.5</v>
      </c>
      <c r="M19" s="16">
        <f t="shared" si="12"/>
        <v>40</v>
      </c>
      <c r="N19" s="16">
        <f t="shared" si="12"/>
        <v>45</v>
      </c>
      <c r="O19" s="24">
        <f t="shared" si="12"/>
        <v>44</v>
      </c>
    </row>
    <row r="20" spans="1:15">
      <c r="A20" s="90"/>
      <c r="B20" s="68"/>
      <c r="C20" s="5" t="s">
        <v>43</v>
      </c>
      <c r="D20" s="5"/>
      <c r="E20" s="5"/>
      <c r="F20" s="5"/>
      <c r="G20" s="5"/>
      <c r="H20" s="5"/>
      <c r="I20" s="16">
        <f>STDEV(I4:I13)</f>
        <v>16.536155673083279</v>
      </c>
      <c r="J20" s="16">
        <f t="shared" ref="J20:O20" si="13">STDEV(J4:J13)</f>
        <v>13.166666666666675</v>
      </c>
      <c r="K20" s="16">
        <f t="shared" si="13"/>
        <v>10.428326807307105</v>
      </c>
      <c r="L20" s="16">
        <f t="shared" si="13"/>
        <v>11.67534069082849</v>
      </c>
      <c r="M20" s="16">
        <f t="shared" si="13"/>
        <v>20.23885152648517</v>
      </c>
      <c r="N20" s="16">
        <f t="shared" si="13"/>
        <v>19.190564811327921</v>
      </c>
      <c r="O20" s="24">
        <f t="shared" si="13"/>
        <v>15.818414023606231</v>
      </c>
    </row>
    <row r="21" spans="1:15">
      <c r="A21" s="90"/>
      <c r="B21" s="68"/>
      <c r="C21" s="5" t="s">
        <v>44</v>
      </c>
      <c r="D21" s="5"/>
      <c r="E21" s="5"/>
      <c r="F21" s="5"/>
      <c r="G21" s="5"/>
      <c r="H21" s="5"/>
      <c r="I21" s="16">
        <f>VAR(I4:I13)</f>
        <v>273.44444444444434</v>
      </c>
      <c r="J21" s="16">
        <f t="shared" ref="J21:O21" si="14">VAR(J4:J13)</f>
        <v>173.36111111111131</v>
      </c>
      <c r="K21" s="16">
        <f t="shared" si="14"/>
        <v>108.75</v>
      </c>
      <c r="L21" s="16">
        <f t="shared" si="14"/>
        <v>136.31358024691548</v>
      </c>
      <c r="M21" s="16">
        <f t="shared" si="14"/>
        <v>409.61111111111109</v>
      </c>
      <c r="N21" s="16">
        <f t="shared" si="14"/>
        <v>368.27777777777737</v>
      </c>
      <c r="O21" s="24">
        <f t="shared" si="14"/>
        <v>250.22222222222223</v>
      </c>
    </row>
    <row r="22" spans="1:15">
      <c r="A22" s="90"/>
      <c r="B22" s="68"/>
      <c r="C22" s="5" t="s">
        <v>37</v>
      </c>
      <c r="D22" s="5"/>
      <c r="E22" s="5"/>
      <c r="F22" s="5"/>
      <c r="G22" s="5"/>
      <c r="H22" s="5"/>
      <c r="I22" s="5">
        <f>COUNT(I4:I13)</f>
        <v>9</v>
      </c>
      <c r="J22" s="5">
        <f t="shared" ref="J22:O22" si="15">COUNT(J4:J13)</f>
        <v>9</v>
      </c>
      <c r="K22" s="5">
        <f t="shared" si="15"/>
        <v>9</v>
      </c>
      <c r="L22" s="5">
        <f t="shared" si="15"/>
        <v>10</v>
      </c>
      <c r="M22" s="5">
        <f t="shared" si="15"/>
        <v>10</v>
      </c>
      <c r="N22" s="5">
        <f t="shared" si="15"/>
        <v>9</v>
      </c>
      <c r="O22" s="6">
        <f t="shared" si="15"/>
        <v>10</v>
      </c>
    </row>
    <row r="23" spans="1:15">
      <c r="A23" s="90"/>
      <c r="B23" s="68"/>
      <c r="C23" s="5" t="s">
        <v>25</v>
      </c>
      <c r="D23" s="5"/>
      <c r="E23" s="5"/>
      <c r="F23" s="5"/>
      <c r="G23" s="5"/>
      <c r="H23" s="5"/>
      <c r="I23" s="5">
        <f>COUNTIF(I4:I13,"&lt;"&amp;$D$41)</f>
        <v>1</v>
      </c>
      <c r="J23" s="5">
        <f t="shared" ref="J23:O23" si="16">COUNTIF(J4:J13,"&lt;"&amp;$D$41)</f>
        <v>0</v>
      </c>
      <c r="K23" s="5">
        <f t="shared" si="16"/>
        <v>0</v>
      </c>
      <c r="L23" s="5">
        <f t="shared" si="16"/>
        <v>1</v>
      </c>
      <c r="M23" s="5">
        <f t="shared" si="16"/>
        <v>2</v>
      </c>
      <c r="N23" s="5">
        <f t="shared" si="16"/>
        <v>2</v>
      </c>
      <c r="O23" s="23">
        <f t="shared" si="16"/>
        <v>1</v>
      </c>
    </row>
    <row r="24" spans="1:15">
      <c r="A24" s="90"/>
      <c r="B24" s="68"/>
      <c r="C24" s="5" t="s">
        <v>52</v>
      </c>
      <c r="D24" s="5"/>
      <c r="E24" s="5"/>
      <c r="F24" s="5"/>
      <c r="G24" s="5"/>
      <c r="H24" s="5"/>
      <c r="I24" s="5">
        <f>COUNTIFS(I4:I13,"&gt;="&amp;$D$41,I4:I13,"&lt;"&amp;$D$42)</f>
        <v>4</v>
      </c>
      <c r="J24" s="5">
        <f t="shared" ref="J24:O24" si="17">COUNTIFS(J4:J13,"&gt;="&amp;$D$41,J4:J13,"&lt;"&amp;$D$42)</f>
        <v>4</v>
      </c>
      <c r="K24" s="5">
        <f t="shared" si="17"/>
        <v>4</v>
      </c>
      <c r="L24" s="5">
        <f t="shared" si="17"/>
        <v>5</v>
      </c>
      <c r="M24" s="5">
        <f t="shared" si="17"/>
        <v>1</v>
      </c>
      <c r="N24" s="5">
        <f t="shared" si="17"/>
        <v>4</v>
      </c>
      <c r="O24" s="23">
        <f t="shared" si="17"/>
        <v>6</v>
      </c>
    </row>
    <row r="25" spans="1:15">
      <c r="A25" s="90"/>
      <c r="B25" s="68"/>
      <c r="C25" s="5" t="s">
        <v>53</v>
      </c>
      <c r="D25" s="5"/>
      <c r="E25" s="5"/>
      <c r="F25" s="5"/>
      <c r="G25" s="5"/>
      <c r="H25" s="5"/>
      <c r="I25" s="5">
        <f>COUNTIF(I4:I13,F42)</f>
        <v>4</v>
      </c>
      <c r="J25" s="5">
        <f t="shared" ref="J25:O25" si="18">COUNTIF(J4:J13,"&gt;="&amp;$D$42)</f>
        <v>5</v>
      </c>
      <c r="K25" s="5">
        <f t="shared" si="18"/>
        <v>5</v>
      </c>
      <c r="L25" s="5">
        <f t="shared" si="18"/>
        <v>4</v>
      </c>
      <c r="M25" s="5">
        <f t="shared" si="18"/>
        <v>7</v>
      </c>
      <c r="N25" s="5">
        <f t="shared" si="18"/>
        <v>3</v>
      </c>
      <c r="O25" s="23">
        <f t="shared" si="18"/>
        <v>3</v>
      </c>
    </row>
    <row r="26" spans="1:15">
      <c r="A26" s="90"/>
      <c r="B26" s="69"/>
      <c r="C26" s="37" t="s">
        <v>60</v>
      </c>
      <c r="D26" s="5" t="str">
        <f>C45</f>
        <v>סטודנטים</v>
      </c>
      <c r="E26" s="5"/>
      <c r="F26" s="5"/>
      <c r="G26" s="5"/>
      <c r="H26" s="5"/>
      <c r="I26" s="5">
        <f>COUNTIFS($E$4:$E$13,$D$45,I4:I13,"&gt;="&amp;$D$42)</f>
        <v>3</v>
      </c>
      <c r="J26" s="5">
        <f t="shared" ref="J26:O26" si="19">COUNTIFS($E$4:$E$13,$D$45,J4:J13,"&gt;="&amp;$D$42)</f>
        <v>2</v>
      </c>
      <c r="K26" s="5">
        <f t="shared" si="19"/>
        <v>3</v>
      </c>
      <c r="L26" s="5">
        <f t="shared" si="19"/>
        <v>3</v>
      </c>
      <c r="M26" s="5">
        <f t="shared" si="19"/>
        <v>3</v>
      </c>
      <c r="N26" s="5">
        <f t="shared" si="19"/>
        <v>0</v>
      </c>
      <c r="O26" s="6">
        <f t="shared" si="19"/>
        <v>1</v>
      </c>
    </row>
    <row r="27" spans="1:15">
      <c r="A27" s="91"/>
      <c r="B27" s="70"/>
      <c r="C27" s="43"/>
      <c r="D27" s="5" t="str">
        <f>C46</f>
        <v>סטודנטיות</v>
      </c>
      <c r="E27" s="43"/>
      <c r="F27" s="43"/>
      <c r="G27" s="43"/>
      <c r="H27" s="43"/>
      <c r="I27" s="43">
        <f>COUNTIFS($E$4:$E$13,$D$46,I4:I13,$F$42)</f>
        <v>1</v>
      </c>
      <c r="J27" s="43">
        <f t="shared" ref="J27:O27" si="20">COUNTIFS($E$4:$E$13,$D$46,J4:J13,$F$42)</f>
        <v>3</v>
      </c>
      <c r="K27" s="43">
        <f t="shared" si="20"/>
        <v>2</v>
      </c>
      <c r="L27" s="43">
        <f t="shared" si="20"/>
        <v>1</v>
      </c>
      <c r="M27" s="43">
        <f t="shared" si="20"/>
        <v>4</v>
      </c>
      <c r="N27" s="43">
        <f t="shared" si="20"/>
        <v>3</v>
      </c>
      <c r="O27" s="44">
        <f t="shared" si="20"/>
        <v>2</v>
      </c>
    </row>
    <row r="28" spans="1:15">
      <c r="A28" s="91"/>
      <c r="B28" s="70"/>
      <c r="C28" s="43" t="s">
        <v>38</v>
      </c>
      <c r="D28" s="43"/>
      <c r="E28" s="43">
        <f>COUNTA(D4:D13)</f>
        <v>10</v>
      </c>
      <c r="F28" s="43"/>
      <c r="G28" s="43"/>
      <c r="H28" s="47" t="s">
        <v>63</v>
      </c>
      <c r="I28" s="48">
        <f>AVERAGEIFS(I4:I13,I4:I13,"&gt;="&amp;$D$41,I4:I13,"&lt;"&amp;$D$42)</f>
        <v>72</v>
      </c>
      <c r="J28" s="48">
        <f t="shared" ref="J28:O28" si="21">AVERAGEIFS(J4:J13,J4:J13,"&gt;="&amp;$D$41,J4:J13,"&lt;"&amp;$D$42)</f>
        <v>74.5</v>
      </c>
      <c r="K28" s="48">
        <f t="shared" si="21"/>
        <v>76.25</v>
      </c>
      <c r="L28" s="48">
        <f t="shared" si="21"/>
        <v>81.36666666666666</v>
      </c>
      <c r="M28" s="48">
        <f t="shared" si="21"/>
        <v>81</v>
      </c>
      <c r="N28" s="48">
        <f t="shared" si="21"/>
        <v>71.75</v>
      </c>
      <c r="O28" s="49">
        <f t="shared" si="21"/>
        <v>70.833333333333329</v>
      </c>
    </row>
    <row r="29" spans="1:15">
      <c r="A29" s="91"/>
      <c r="B29" s="71"/>
      <c r="C29" s="37" t="s">
        <v>60</v>
      </c>
      <c r="D29" s="43" t="str">
        <f>C45</f>
        <v>סטודנטים</v>
      </c>
      <c r="E29" s="43">
        <f>COUNTIF(E4:E13,D45)</f>
        <v>4</v>
      </c>
      <c r="F29" s="43"/>
      <c r="G29" s="43"/>
      <c r="H29" s="46" t="s">
        <v>62</v>
      </c>
      <c r="I29" s="48">
        <f>AVERAGEIF($E$4:$E$13,$D45,I$4:I$13)</f>
        <v>89.333333333333329</v>
      </c>
      <c r="J29" s="48">
        <f t="shared" ref="J29:O29" si="22">AVERAGEIF($E$4:$E$13,$D45,J$4:J$13)</f>
        <v>83.5</v>
      </c>
      <c r="K29" s="48">
        <f t="shared" si="22"/>
        <v>89.25</v>
      </c>
      <c r="L29" s="48">
        <f t="shared" si="22"/>
        <v>87.333333333333329</v>
      </c>
      <c r="M29" s="48">
        <f t="shared" si="22"/>
        <v>85</v>
      </c>
      <c r="N29" s="48">
        <f t="shared" si="22"/>
        <v>60</v>
      </c>
      <c r="O29" s="49">
        <f t="shared" si="22"/>
        <v>73.75</v>
      </c>
    </row>
    <row r="30" spans="1:15" ht="13.5" thickBot="1">
      <c r="A30" s="92"/>
      <c r="B30" s="72"/>
      <c r="C30" s="7"/>
      <c r="D30" s="7" t="str">
        <f>C46</f>
        <v>סטודנטיות</v>
      </c>
      <c r="E30" s="7">
        <f>COUNTIF(E4:E13,D46)</f>
        <v>6</v>
      </c>
      <c r="F30" s="7"/>
      <c r="G30" s="7"/>
      <c r="H30" s="7" t="s">
        <v>62</v>
      </c>
      <c r="I30" s="50">
        <f t="shared" ref="I30:O30" si="23">AVERAGEIF($E$4:$E$13,$D46,I$4:I$13)</f>
        <v>71.166666666666671</v>
      </c>
      <c r="J30" s="52">
        <f t="shared" si="23"/>
        <v>87.8</v>
      </c>
      <c r="K30" s="50">
        <f t="shared" si="23"/>
        <v>82.2</v>
      </c>
      <c r="L30" s="50">
        <f t="shared" si="23"/>
        <v>78.5</v>
      </c>
      <c r="M30" s="50">
        <f t="shared" si="23"/>
        <v>82.5</v>
      </c>
      <c r="N30" s="50">
        <f t="shared" si="23"/>
        <v>84.2</v>
      </c>
      <c r="O30" s="51">
        <f t="shared" si="23"/>
        <v>74.166666666666671</v>
      </c>
    </row>
    <row r="31" spans="1:15" ht="14.25" thickTop="1" thickBot="1">
      <c r="M31"/>
      <c r="N31"/>
    </row>
    <row r="32" spans="1:15" ht="13.5" thickTop="1">
      <c r="A32" s="80" t="s">
        <v>48</v>
      </c>
      <c r="B32" s="67"/>
      <c r="C32" s="21" t="s">
        <v>26</v>
      </c>
      <c r="D32" s="33">
        <v>0.1</v>
      </c>
      <c r="M32"/>
      <c r="N32"/>
    </row>
    <row r="33" spans="1:15">
      <c r="A33" s="81"/>
      <c r="B33" s="68"/>
      <c r="C33" s="5" t="s">
        <v>27</v>
      </c>
      <c r="D33" s="34">
        <v>0.1</v>
      </c>
      <c r="M33"/>
      <c r="N33"/>
    </row>
    <row r="34" spans="1:15">
      <c r="A34" s="81"/>
      <c r="B34" s="68"/>
      <c r="C34" s="5" t="s">
        <v>28</v>
      </c>
      <c r="D34" s="34">
        <v>0.1</v>
      </c>
      <c r="M34"/>
      <c r="N34"/>
    </row>
    <row r="35" spans="1:15">
      <c r="A35" s="81"/>
      <c r="B35" s="68"/>
      <c r="C35" s="5" t="s">
        <v>29</v>
      </c>
      <c r="D35" s="34">
        <v>0.3</v>
      </c>
      <c r="M35"/>
      <c r="N35"/>
    </row>
    <row r="36" spans="1:15">
      <c r="A36" s="81"/>
      <c r="B36" s="68"/>
      <c r="C36" s="5" t="s">
        <v>30</v>
      </c>
      <c r="D36" s="34">
        <v>0.4</v>
      </c>
      <c r="M36"/>
      <c r="N36"/>
    </row>
    <row r="37" spans="1:15" ht="13.5" thickBot="1">
      <c r="A37" s="82"/>
      <c r="B37" s="72"/>
      <c r="C37" s="7" t="s">
        <v>31</v>
      </c>
      <c r="D37" s="35">
        <f>SUM(D32:D36)</f>
        <v>1</v>
      </c>
      <c r="M37"/>
      <c r="N37"/>
    </row>
    <row r="38" spans="1:15" ht="12.75" customHeight="1" thickTop="1" thickBot="1">
      <c r="M38"/>
      <c r="N38"/>
    </row>
    <row r="39" spans="1:15" ht="13.5" thickTop="1">
      <c r="A39" s="80" t="s">
        <v>49</v>
      </c>
      <c r="B39" s="67"/>
      <c r="C39" s="21"/>
      <c r="D39" s="21" t="s">
        <v>32</v>
      </c>
      <c r="E39" s="22" t="s">
        <v>33</v>
      </c>
      <c r="M39"/>
      <c r="N39"/>
      <c r="O39" s="1"/>
    </row>
    <row r="40" spans="1:15">
      <c r="A40" s="81"/>
      <c r="B40" s="68"/>
      <c r="C40" s="5" t="s">
        <v>34</v>
      </c>
      <c r="D40" s="16">
        <v>0</v>
      </c>
      <c r="E40" s="24">
        <v>59.49</v>
      </c>
      <c r="F40" s="3"/>
      <c r="G40" s="3"/>
      <c r="H40" s="3"/>
      <c r="M40"/>
      <c r="N40"/>
      <c r="O40" s="2"/>
    </row>
    <row r="41" spans="1:15">
      <c r="A41" s="81"/>
      <c r="B41" s="68"/>
      <c r="C41" s="5" t="s">
        <v>35</v>
      </c>
      <c r="D41" s="16">
        <v>59.5</v>
      </c>
      <c r="E41" s="24">
        <v>84.49</v>
      </c>
      <c r="F41" s="3"/>
      <c r="G41" s="3"/>
      <c r="H41" s="3"/>
      <c r="M41"/>
      <c r="N41"/>
      <c r="O41" s="1"/>
    </row>
    <row r="42" spans="1:15" ht="13.5" thickBot="1">
      <c r="A42" s="82"/>
      <c r="B42" s="72"/>
      <c r="C42" s="7" t="s">
        <v>36</v>
      </c>
      <c r="D42" s="17">
        <f>84.5</f>
        <v>84.5</v>
      </c>
      <c r="E42" s="25">
        <v>100</v>
      </c>
      <c r="F42" s="45" t="s">
        <v>61</v>
      </c>
      <c r="G42" s="3"/>
      <c r="H42" s="3"/>
      <c r="M42"/>
      <c r="N42"/>
      <c r="O42" s="1"/>
    </row>
    <row r="43" spans="1:15" ht="14.25" thickTop="1" thickBot="1"/>
    <row r="44" spans="1:15" ht="13.5" thickTop="1">
      <c r="A44" s="80" t="s">
        <v>58</v>
      </c>
      <c r="B44" s="73"/>
      <c r="C44" s="83" t="s">
        <v>8</v>
      </c>
      <c r="D44" s="84"/>
    </row>
    <row r="45" spans="1:15">
      <c r="A45" s="81"/>
      <c r="B45" s="68"/>
      <c r="C45" s="5" t="s">
        <v>56</v>
      </c>
      <c r="D45" s="24" t="s">
        <v>17</v>
      </c>
    </row>
    <row r="46" spans="1:15" ht="13.5" thickBot="1">
      <c r="A46" s="82"/>
      <c r="B46" s="72"/>
      <c r="C46" s="7" t="s">
        <v>57</v>
      </c>
      <c r="D46" s="25" t="s">
        <v>18</v>
      </c>
    </row>
    <row r="47" spans="1:15" ht="13.5" thickTop="1"/>
    <row r="48" spans="1:15" ht="38.25">
      <c r="C48" s="78" t="s">
        <v>71</v>
      </c>
      <c r="D48" s="79">
        <f ca="1">RANDBETWEEN(MIN(B4:B13),MAX(B4:B13))</f>
        <v>5</v>
      </c>
    </row>
  </sheetData>
  <mergeCells count="7">
    <mergeCell ref="A44:A46"/>
    <mergeCell ref="C44:D44"/>
    <mergeCell ref="A1:S1"/>
    <mergeCell ref="A3:A13"/>
    <mergeCell ref="A15:A30"/>
    <mergeCell ref="A32:A37"/>
    <mergeCell ref="A39:A42"/>
  </mergeCells>
  <conditionalFormatting sqref="B4:C13">
    <cfRule type="duplicateValues" dxfId="13" priority="17"/>
  </conditionalFormatting>
  <conditionalFormatting sqref="O4:O13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5">
      <iconSet iconSet="3Symbols2">
        <cfvo type="percent" val="0"/>
        <cfvo type="percent" val="33"/>
        <cfvo type="percent" val="67"/>
      </iconSet>
    </cfRule>
    <cfRule type="dataBar" priority="16">
      <dataBar>
        <cfvo type="min"/>
        <cfvo type="max"/>
        <color rgb="FF008AEF"/>
      </dataBar>
    </cfRule>
  </conditionalFormatting>
  <conditionalFormatting sqref="P4:P13">
    <cfRule type="cellIs" dxfId="12" priority="11" operator="equal">
      <formula>$C$40</formula>
    </cfRule>
    <cfRule type="cellIs" dxfId="11" priority="12" operator="equal">
      <formula>$C$41</formula>
    </cfRule>
    <cfRule type="cellIs" dxfId="10" priority="13" operator="equal">
      <formula>$C$42</formula>
    </cfRule>
  </conditionalFormatting>
  <conditionalFormatting sqref="B4:R13">
    <cfRule type="expression" dxfId="9" priority="10">
      <formula>$P4=$C$40</formula>
    </cfRule>
  </conditionalFormatting>
  <conditionalFormatting sqref="B8:C8">
    <cfRule type="duplicateValues" dxfId="8" priority="9"/>
  </conditionalFormatting>
  <conditionalFormatting sqref="B8:C8">
    <cfRule type="expression" dxfId="7" priority="8">
      <formula>$P8=$C$40</formula>
    </cfRule>
  </conditionalFormatting>
  <conditionalFormatting sqref="B8:C8">
    <cfRule type="duplicateValues" dxfId="6" priority="7"/>
  </conditionalFormatting>
  <conditionalFormatting sqref="B8:C8">
    <cfRule type="expression" dxfId="5" priority="6">
      <formula>$P8=$C$40</formula>
    </cfRule>
  </conditionalFormatting>
  <conditionalFormatting sqref="T5:T13">
    <cfRule type="expression" dxfId="4" priority="5">
      <formula>$P5=$C$40</formula>
    </cfRule>
  </conditionalFormatting>
  <conditionalFormatting sqref="U5:U13">
    <cfRule type="expression" dxfId="3" priority="4">
      <formula>$P5=$C$40</formula>
    </cfRule>
  </conditionalFormatting>
  <conditionalFormatting sqref="S4:S13">
    <cfRule type="expression" dxfId="2" priority="3">
      <formula>$P4=$C$40</formula>
    </cfRule>
  </conditionalFormatting>
  <conditionalFormatting sqref="T4">
    <cfRule type="expression" dxfId="1" priority="2">
      <formula>$P4=$C$40</formula>
    </cfRule>
  </conditionalFormatting>
  <conditionalFormatting sqref="U4:U13">
    <cfRule type="expression" dxfId="0" priority="1">
      <formula>$P4=$C$40</formula>
    </cfRule>
  </conditionalFormatting>
  <dataValidations disablePrompts="1" count="2">
    <dataValidation type="whole" allowBlank="1" showInputMessage="1" showErrorMessage="1" sqref="I4:K13 M4:N13">
      <formula1>$D$40</formula1>
      <formula2>$E$42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$C$45:$C$46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workbookViewId="0"/>
  </sheetViews>
  <sheetFormatPr defaultRowHeight="12.75"/>
  <cols>
    <col min="1" max="1" width="11" bestFit="1" customWidth="1"/>
    <col min="2" max="2" width="10.140625" style="95" bestFit="1" customWidth="1"/>
    <col min="3" max="3" width="9.140625" style="94"/>
    <col min="5" max="5" width="10.140625" bestFit="1" customWidth="1"/>
    <col min="6" max="7" width="9.140625" style="94"/>
    <col min="8" max="8" width="9.140625" style="93"/>
  </cols>
  <sheetData>
    <row r="1" spans="1:8">
      <c r="A1" s="100" t="s">
        <v>79</v>
      </c>
      <c r="B1" s="108"/>
      <c r="C1" s="108"/>
      <c r="D1" s="107" t="s">
        <v>78</v>
      </c>
      <c r="E1" s="107"/>
      <c r="F1" s="106"/>
      <c r="G1" s="106"/>
    </row>
    <row r="3" spans="1:8" s="100" customFormat="1">
      <c r="A3" s="105" t="s">
        <v>77</v>
      </c>
      <c r="B3" s="105"/>
      <c r="C3" s="105"/>
      <c r="D3" s="105" t="s">
        <v>76</v>
      </c>
      <c r="E3" s="105"/>
      <c r="F3" s="105"/>
      <c r="G3" s="101"/>
      <c r="H3" s="104"/>
    </row>
    <row r="4" spans="1:8" s="100" customFormat="1">
      <c r="A4" s="103" t="s">
        <v>75</v>
      </c>
      <c r="B4" s="102" t="s">
        <v>74</v>
      </c>
      <c r="C4" s="101" t="s">
        <v>73</v>
      </c>
      <c r="D4" s="103" t="s">
        <v>75</v>
      </c>
      <c r="E4" s="102" t="s">
        <v>74</v>
      </c>
      <c r="F4" s="101" t="s">
        <v>73</v>
      </c>
      <c r="G4" s="101" t="s">
        <v>72</v>
      </c>
      <c r="H4" s="101" t="s">
        <v>72</v>
      </c>
    </row>
    <row r="5" spans="1:8">
      <c r="A5" s="99"/>
      <c r="B5" s="98">
        <v>40213</v>
      </c>
      <c r="C5" s="97">
        <v>0.35416666666666669</v>
      </c>
      <c r="D5" s="99"/>
      <c r="E5" s="98">
        <v>40213</v>
      </c>
      <c r="F5" s="97">
        <v>0.39583333333333331</v>
      </c>
      <c r="G5" s="96"/>
      <c r="H5" s="96"/>
    </row>
    <row r="6" spans="1:8">
      <c r="A6" s="99"/>
      <c r="B6" s="98">
        <v>40216</v>
      </c>
      <c r="C6" s="97">
        <v>0.53125</v>
      </c>
      <c r="D6" s="99"/>
      <c r="E6" s="98">
        <v>40216</v>
      </c>
      <c r="F6" s="97">
        <v>0.58333333333333337</v>
      </c>
      <c r="G6" s="96"/>
      <c r="H6" s="96"/>
    </row>
    <row r="7" spans="1:8">
      <c r="A7" s="99"/>
      <c r="B7" s="98">
        <v>40217</v>
      </c>
      <c r="C7" s="97">
        <v>0.92708333333333337</v>
      </c>
      <c r="D7" s="99"/>
      <c r="E7" s="98">
        <v>40218</v>
      </c>
      <c r="F7" s="97">
        <v>0.13541666666666666</v>
      </c>
      <c r="G7" s="96"/>
      <c r="H7" s="96"/>
    </row>
    <row r="8" spans="1:8">
      <c r="A8" s="99"/>
      <c r="B8" s="98">
        <v>40219</v>
      </c>
      <c r="C8" s="97">
        <v>0.5625</v>
      </c>
      <c r="D8" s="99"/>
      <c r="E8" s="98">
        <v>40219</v>
      </c>
      <c r="F8" s="97">
        <v>0.60416666666666663</v>
      </c>
      <c r="G8" s="96"/>
      <c r="H8" s="96"/>
    </row>
    <row r="9" spans="1:8">
      <c r="A9" s="99"/>
      <c r="B9" s="98">
        <v>40220</v>
      </c>
      <c r="C9" s="97">
        <v>0.3263888888888889</v>
      </c>
      <c r="D9" s="99"/>
      <c r="E9" s="98">
        <v>40220</v>
      </c>
      <c r="F9" s="97">
        <v>0.54861111111111105</v>
      </c>
      <c r="G9" s="96"/>
      <c r="H9" s="96"/>
    </row>
    <row r="10" spans="1:8">
      <c r="A10" s="99"/>
      <c r="B10" s="98">
        <v>40223</v>
      </c>
      <c r="C10" s="97">
        <v>0.3888888888888889</v>
      </c>
      <c r="D10" s="99"/>
      <c r="E10" s="98">
        <v>40223</v>
      </c>
      <c r="F10" s="97">
        <v>0.4201388888888889</v>
      </c>
      <c r="G10" s="96"/>
      <c r="H10" s="96"/>
    </row>
    <row r="11" spans="1:8">
      <c r="A11" s="99"/>
      <c r="B11" s="98">
        <v>40224</v>
      </c>
      <c r="C11" s="97">
        <v>0.3611111111111111</v>
      </c>
      <c r="D11" s="99"/>
      <c r="E11" s="98">
        <v>40224</v>
      </c>
      <c r="F11" s="97">
        <v>0.45833333333333331</v>
      </c>
      <c r="G11" s="96"/>
      <c r="H11" s="96"/>
    </row>
    <row r="12" spans="1:8">
      <c r="A12" s="99"/>
      <c r="B12" s="98">
        <v>40225</v>
      </c>
      <c r="C12" s="97">
        <v>0.40625</v>
      </c>
      <c r="D12" s="99"/>
      <c r="E12" s="98">
        <v>40225</v>
      </c>
      <c r="F12" s="97">
        <v>0.4375</v>
      </c>
      <c r="G12" s="96"/>
      <c r="H12" s="96"/>
    </row>
    <row r="13" spans="1:8">
      <c r="A13" s="99"/>
      <c r="B13" s="98">
        <v>40230</v>
      </c>
      <c r="C13" s="97">
        <v>0.53472222222222221</v>
      </c>
      <c r="D13" s="99"/>
      <c r="E13" s="98">
        <v>40230</v>
      </c>
      <c r="F13" s="97">
        <v>0.58333333333333337</v>
      </c>
      <c r="G13" s="96"/>
      <c r="H13" s="96"/>
    </row>
    <row r="14" spans="1:8">
      <c r="A14" s="99"/>
      <c r="B14" s="98">
        <v>40237</v>
      </c>
      <c r="C14" s="97">
        <v>0.625</v>
      </c>
      <c r="D14" s="99"/>
      <c r="E14" s="98">
        <v>40237</v>
      </c>
      <c r="F14" s="97">
        <v>0.79166666666666663</v>
      </c>
      <c r="G14" s="96"/>
      <c r="H14" s="96"/>
    </row>
  </sheetData>
  <mergeCells count="5">
    <mergeCell ref="A3:C3"/>
    <mergeCell ref="D3:F3"/>
    <mergeCell ref="D1:E1"/>
    <mergeCell ref="F1:G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1-13</vt:lpstr>
      <vt:lpstr>14-16</vt:lpstr>
      <vt:lpstr>17-18</vt:lpstr>
      <vt:lpstr>פתרון 17-18</vt:lpstr>
      <vt:lpstr>19-23</vt:lpstr>
      <vt:lpstr>פתרון 19-23</vt:lpstr>
      <vt:lpstr>24</vt:lpstr>
      <vt:lpstr>פתרון 24</vt:lpstr>
      <vt:lpstr>25-29</vt:lpstr>
      <vt:lpstr>30-33</vt:lpstr>
      <vt:lpstr>פתרון 25-33</vt:lpstr>
      <vt:lpstr>34-45</vt:lpstr>
      <vt:lpstr>46-51</vt:lpstr>
      <vt:lpstr>פתרון 34-51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Shy Shakarov</cp:lastModifiedBy>
  <dcterms:created xsi:type="dcterms:W3CDTF">2001-05-22T06:09:44Z</dcterms:created>
  <dcterms:modified xsi:type="dcterms:W3CDTF">2014-11-26T08:38:05Z</dcterms:modified>
</cp:coreProperties>
</file>