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MTA\מבוא לטכנולוגיות מידע\הרצאות\04- אקסל\"/>
    </mc:Choice>
  </mc:AlternateContent>
  <bookViews>
    <workbookView xWindow="0" yWindow="0" windowWidth="28800" windowHeight="11490"/>
  </bookViews>
  <sheets>
    <sheet name="1-18" sheetId="102" r:id="rId1"/>
    <sheet name="19-30" sheetId="101" r:id="rId2"/>
    <sheet name="פתרון 1-30" sheetId="100" r:id="rId3"/>
    <sheet name="31-35" sheetId="97" r:id="rId4"/>
    <sheet name="פתרון 31-35" sheetId="98" r:id="rId5"/>
  </sheets>
  <externalReferences>
    <externalReference r:id="rId6"/>
  </externalReferences>
  <definedNames>
    <definedName name="_xlnm._FilterDatabase" localSheetId="0" hidden="1">'1-18'!$C$3:$P$13</definedName>
    <definedName name="_xlnm._FilterDatabase" localSheetId="1" hidden="1">'19-30'!$C$3:$P$13</definedName>
    <definedName name="_xlnm._FilterDatabase" localSheetId="2" hidden="1">'פתרון 1-30'!$C$3:$P$13</definedName>
    <definedName name="HTML_CodePage" hidden="1">1255</definedName>
    <definedName name="HTML_Control" localSheetId="0" hidden="1">{"'כל המועדים'!$G$6:$I$12"}</definedName>
    <definedName name="HTML_Control" localSheetId="1" hidden="1">{"'כל המועדים'!$G$6:$I$12"}</definedName>
    <definedName name="HTML_Control" localSheetId="3" hidden="1">{"'כל המועדים'!$G$6:$I$12"}</definedName>
    <definedName name="HTML_Control" localSheetId="2" hidden="1">{"'כל המועדים'!$G$6:$I$12"}</definedName>
    <definedName name="HTML_Control" localSheetId="4" hidden="1">{"'כל המועדים'!$G$6:$I$12"}</definedName>
    <definedName name="HTML_Control" hidden="1">{"'כל המועדים'!$G$6:$I$12"}</definedName>
    <definedName name="HTML_Description" hidden="1">""</definedName>
    <definedName name="HTML_Email" hidden="1">""</definedName>
    <definedName name="HTML_Header" hidden="1">"כל המועדים"</definedName>
    <definedName name="HTML_LastUpdate" hidden="1">"20/09/2000"</definedName>
    <definedName name="HTML_LineAfter" hidden="1">FALSE</definedName>
    <definedName name="HTML_LineBefore" hidden="1">FALSE</definedName>
    <definedName name="HTML_Name" hidden="1">"האוניברסיטה הפתוחה"</definedName>
    <definedName name="HTML_OBDlg2" hidden="1">TRUE</definedName>
    <definedName name="HTML_OBDlg4" hidden="1">TRUE</definedName>
    <definedName name="HTML_OS" hidden="1">0</definedName>
    <definedName name="HTML_PathFile" hidden="1">"H:\word-doc\סמסטר ב2000\MyHTML.htm"</definedName>
    <definedName name="HTML_Title" hidden="1">"סטטיסטיקות לציוני בחינות ב2000"</definedName>
    <definedName name="Min_Rent">'[1]נתוני עזר'!$B$2</definedName>
  </definedNames>
  <calcPr calcId="152511"/>
</workbook>
</file>

<file path=xl/calcChain.xml><?xml version="1.0" encoding="utf-8"?>
<calcChain xmlns="http://schemas.openxmlformats.org/spreadsheetml/2006/main">
  <c r="O13" i="102" l="1"/>
  <c r="O12" i="102"/>
  <c r="O11" i="102"/>
  <c r="O10" i="102"/>
  <c r="O9" i="102"/>
  <c r="O8" i="102"/>
  <c r="O7" i="102"/>
  <c r="O6" i="102"/>
  <c r="O5" i="102"/>
  <c r="O4" i="102"/>
  <c r="G58" i="102"/>
  <c r="F58" i="102"/>
  <c r="D58" i="102"/>
  <c r="C58" i="102"/>
  <c r="C42" i="102"/>
  <c r="C41" i="102"/>
  <c r="C37" i="102"/>
  <c r="C30" i="102"/>
  <c r="C29" i="102"/>
  <c r="D28" i="102"/>
  <c r="C27" i="102"/>
  <c r="C26" i="102"/>
  <c r="N22" i="102"/>
  <c r="M22" i="102"/>
  <c r="K22" i="102"/>
  <c r="J22" i="102"/>
  <c r="I22" i="102"/>
  <c r="N21" i="102"/>
  <c r="M21" i="102"/>
  <c r="K21" i="102"/>
  <c r="J21" i="102"/>
  <c r="I21" i="102"/>
  <c r="N20" i="102"/>
  <c r="M20" i="102"/>
  <c r="K20" i="102"/>
  <c r="J20" i="102"/>
  <c r="I20" i="102"/>
  <c r="N19" i="102"/>
  <c r="M19" i="102"/>
  <c r="K19" i="102"/>
  <c r="J19" i="102"/>
  <c r="I19" i="102"/>
  <c r="N18" i="102"/>
  <c r="M18" i="102"/>
  <c r="K18" i="102"/>
  <c r="J18" i="102"/>
  <c r="I18" i="102"/>
  <c r="N17" i="102"/>
  <c r="M17" i="102"/>
  <c r="K17" i="102"/>
  <c r="J17" i="102"/>
  <c r="I17" i="102"/>
  <c r="N16" i="102"/>
  <c r="M16" i="102"/>
  <c r="K16" i="102"/>
  <c r="J16" i="102"/>
  <c r="I16" i="102"/>
  <c r="N15" i="102"/>
  <c r="M15" i="102"/>
  <c r="K15" i="102"/>
  <c r="J15" i="102"/>
  <c r="I15" i="102"/>
  <c r="L13" i="102"/>
  <c r="L12" i="102"/>
  <c r="L11" i="102"/>
  <c r="L10" i="102"/>
  <c r="L9" i="102"/>
  <c r="L8" i="102"/>
  <c r="L7" i="102"/>
  <c r="L6" i="102"/>
  <c r="L5" i="102"/>
  <c r="L4" i="102"/>
  <c r="L20" i="102" s="1"/>
  <c r="C64" i="101"/>
  <c r="I28" i="101"/>
  <c r="I29" i="101"/>
  <c r="F61" i="101"/>
  <c r="F64" i="101"/>
  <c r="F68" i="101"/>
  <c r="I26" i="101"/>
  <c r="I24" i="101"/>
  <c r="I23" i="101"/>
  <c r="I25" i="101"/>
  <c r="D29" i="101"/>
  <c r="G58" i="101"/>
  <c r="F58" i="101"/>
  <c r="D58" i="101"/>
  <c r="C58" i="101"/>
  <c r="C42" i="101"/>
  <c r="C41" i="101"/>
  <c r="C37" i="101"/>
  <c r="C30" i="101"/>
  <c r="C29" i="101"/>
  <c r="D28" i="101"/>
  <c r="C27" i="101"/>
  <c r="C26" i="101"/>
  <c r="N22" i="101"/>
  <c r="M22" i="101"/>
  <c r="K22" i="101"/>
  <c r="J22" i="101"/>
  <c r="I22" i="101"/>
  <c r="N21" i="101"/>
  <c r="M21" i="101"/>
  <c r="K21" i="101"/>
  <c r="J21" i="101"/>
  <c r="I21" i="101"/>
  <c r="N20" i="101"/>
  <c r="M20" i="101"/>
  <c r="L20" i="101"/>
  <c r="K20" i="101"/>
  <c r="J20" i="101"/>
  <c r="I20" i="101"/>
  <c r="O19" i="101"/>
  <c r="N19" i="101"/>
  <c r="M19" i="101"/>
  <c r="K19" i="101"/>
  <c r="J19" i="101"/>
  <c r="I19" i="101"/>
  <c r="N18" i="101"/>
  <c r="M18" i="101"/>
  <c r="K18" i="101"/>
  <c r="J18" i="101"/>
  <c r="I18" i="101"/>
  <c r="N17" i="101"/>
  <c r="M17" i="101"/>
  <c r="K17" i="101"/>
  <c r="J17" i="101"/>
  <c r="I17" i="101"/>
  <c r="N16" i="101"/>
  <c r="M16" i="101"/>
  <c r="L16" i="101"/>
  <c r="K16" i="101"/>
  <c r="J16" i="101"/>
  <c r="I16" i="101"/>
  <c r="O15" i="101"/>
  <c r="N15" i="101"/>
  <c r="M15" i="101"/>
  <c r="L15" i="101"/>
  <c r="K15" i="101"/>
  <c r="J15" i="101"/>
  <c r="I15" i="101"/>
  <c r="U13" i="101"/>
  <c r="T13" i="101"/>
  <c r="P13" i="101"/>
  <c r="R13" i="101" s="1"/>
  <c r="O13" i="101"/>
  <c r="S13" i="101" s="1"/>
  <c r="L13" i="101"/>
  <c r="U12" i="101"/>
  <c r="T12" i="101"/>
  <c r="P12" i="101"/>
  <c r="R12" i="101" s="1"/>
  <c r="O12" i="101"/>
  <c r="S12" i="101" s="1"/>
  <c r="L12" i="101"/>
  <c r="U11" i="101"/>
  <c r="T11" i="101"/>
  <c r="P11" i="101"/>
  <c r="R11" i="101" s="1"/>
  <c r="O11" i="101"/>
  <c r="S11" i="101" s="1"/>
  <c r="L11" i="101"/>
  <c r="U10" i="101"/>
  <c r="T10" i="101"/>
  <c r="P10" i="101"/>
  <c r="Q10" i="101" s="1"/>
  <c r="O10" i="101"/>
  <c r="S10" i="101" s="1"/>
  <c r="L10" i="101"/>
  <c r="U9" i="101"/>
  <c r="T9" i="101"/>
  <c r="P9" i="101"/>
  <c r="Q9" i="101" s="1"/>
  <c r="O9" i="101"/>
  <c r="S9" i="101" s="1"/>
  <c r="L9" i="101"/>
  <c r="U8" i="101"/>
  <c r="T8" i="101"/>
  <c r="P8" i="101"/>
  <c r="R8" i="101" s="1"/>
  <c r="O8" i="101"/>
  <c r="S8" i="101" s="1"/>
  <c r="L8" i="101"/>
  <c r="U7" i="101"/>
  <c r="T7" i="101"/>
  <c r="P7" i="101"/>
  <c r="R7" i="101" s="1"/>
  <c r="O7" i="101"/>
  <c r="S7" i="101" s="1"/>
  <c r="L7" i="101"/>
  <c r="U6" i="101"/>
  <c r="T6" i="101"/>
  <c r="P6" i="101"/>
  <c r="R6" i="101" s="1"/>
  <c r="O6" i="101"/>
  <c r="S6" i="101" s="1"/>
  <c r="L6" i="101"/>
  <c r="U5" i="101"/>
  <c r="T5" i="101"/>
  <c r="P5" i="101"/>
  <c r="R5" i="101" s="1"/>
  <c r="O5" i="101"/>
  <c r="S5" i="101" s="1"/>
  <c r="L5" i="101"/>
  <c r="U4" i="101"/>
  <c r="T4" i="101"/>
  <c r="P4" i="101"/>
  <c r="Q4" i="101" s="1"/>
  <c r="O4" i="101"/>
  <c r="L4" i="101"/>
  <c r="H71" i="100"/>
  <c r="H70" i="100"/>
  <c r="H69" i="100"/>
  <c r="H68" i="100"/>
  <c r="H66" i="100"/>
  <c r="H65" i="100"/>
  <c r="H64" i="100"/>
  <c r="H62" i="100"/>
  <c r="H61" i="100"/>
  <c r="H60" i="100"/>
  <c r="E71" i="100"/>
  <c r="E70" i="100"/>
  <c r="E69" i="100"/>
  <c r="E68" i="100"/>
  <c r="E66" i="100"/>
  <c r="E65" i="100"/>
  <c r="E64" i="100"/>
  <c r="E62" i="100"/>
  <c r="E61" i="100"/>
  <c r="G58" i="100"/>
  <c r="F58" i="100"/>
  <c r="D58" i="100"/>
  <c r="C58" i="100"/>
  <c r="E60" i="100"/>
  <c r="C42" i="100"/>
  <c r="C41" i="100"/>
  <c r="I23" i="100" s="1"/>
  <c r="C37" i="100"/>
  <c r="N30" i="100"/>
  <c r="M30" i="100"/>
  <c r="K30" i="100"/>
  <c r="J30" i="100"/>
  <c r="I30" i="100"/>
  <c r="D30" i="100"/>
  <c r="C30" i="100"/>
  <c r="N29" i="100"/>
  <c r="M29" i="100"/>
  <c r="K29" i="100"/>
  <c r="J29" i="100"/>
  <c r="I29" i="100"/>
  <c r="D29" i="100"/>
  <c r="C29" i="100"/>
  <c r="K28" i="100"/>
  <c r="D28" i="100"/>
  <c r="N27" i="100"/>
  <c r="M27" i="100"/>
  <c r="K27" i="100"/>
  <c r="J27" i="100"/>
  <c r="I27" i="100"/>
  <c r="C27" i="100"/>
  <c r="N26" i="100"/>
  <c r="M26" i="100"/>
  <c r="K26" i="100"/>
  <c r="J26" i="100"/>
  <c r="I26" i="100"/>
  <c r="C26" i="100"/>
  <c r="N25" i="100"/>
  <c r="M25" i="100"/>
  <c r="K25" i="100"/>
  <c r="J25" i="100"/>
  <c r="I25" i="100"/>
  <c r="N22" i="100"/>
  <c r="M22" i="100"/>
  <c r="K22" i="100"/>
  <c r="J22" i="100"/>
  <c r="I22" i="100"/>
  <c r="N21" i="100"/>
  <c r="M21" i="100"/>
  <c r="K21" i="100"/>
  <c r="J21" i="100"/>
  <c r="I21" i="100"/>
  <c r="N20" i="100"/>
  <c r="M20" i="100"/>
  <c r="K20" i="100"/>
  <c r="J20" i="100"/>
  <c r="I20" i="100"/>
  <c r="N19" i="100"/>
  <c r="M19" i="100"/>
  <c r="K19" i="100"/>
  <c r="J19" i="100"/>
  <c r="I19" i="100"/>
  <c r="N18" i="100"/>
  <c r="M18" i="100"/>
  <c r="K18" i="100"/>
  <c r="J18" i="100"/>
  <c r="I18" i="100"/>
  <c r="N17" i="100"/>
  <c r="M17" i="100"/>
  <c r="K17" i="100"/>
  <c r="J17" i="100"/>
  <c r="I17" i="100"/>
  <c r="N16" i="100"/>
  <c r="M16" i="100"/>
  <c r="K16" i="100"/>
  <c r="J16" i="100"/>
  <c r="I16" i="100"/>
  <c r="N15" i="100"/>
  <c r="M15" i="100"/>
  <c r="K15" i="100"/>
  <c r="J15" i="100"/>
  <c r="I15" i="100"/>
  <c r="O13" i="100"/>
  <c r="L13" i="100"/>
  <c r="O12" i="100"/>
  <c r="L12" i="100"/>
  <c r="O11" i="100"/>
  <c r="L11" i="100"/>
  <c r="O10" i="100"/>
  <c r="L10" i="100"/>
  <c r="O9" i="100"/>
  <c r="L9" i="100"/>
  <c r="O8" i="100"/>
  <c r="L8" i="100"/>
  <c r="O7" i="100"/>
  <c r="L7" i="100"/>
  <c r="O6" i="100"/>
  <c r="L6" i="100"/>
  <c r="O5" i="100"/>
  <c r="L5" i="100"/>
  <c r="O4" i="100"/>
  <c r="L4" i="100"/>
  <c r="O17" i="102" l="1"/>
  <c r="O19" i="102"/>
  <c r="O21" i="102"/>
  <c r="L18" i="102"/>
  <c r="L15" i="102"/>
  <c r="O18" i="102"/>
  <c r="L19" i="102"/>
  <c r="O22" i="102"/>
  <c r="S4" i="102"/>
  <c r="S5" i="102"/>
  <c r="S8" i="102"/>
  <c r="S9" i="102"/>
  <c r="S10" i="102"/>
  <c r="S11" i="102"/>
  <c r="S12" i="102"/>
  <c r="S13" i="102"/>
  <c r="O16" i="102"/>
  <c r="L17" i="102"/>
  <c r="O20" i="102"/>
  <c r="L21" i="102"/>
  <c r="L22" i="102"/>
  <c r="S6" i="102"/>
  <c r="S7" i="102"/>
  <c r="P4" i="102"/>
  <c r="P5" i="102"/>
  <c r="P6" i="102"/>
  <c r="P7" i="102"/>
  <c r="P8" i="102"/>
  <c r="P9" i="102"/>
  <c r="P10" i="102"/>
  <c r="P11" i="102"/>
  <c r="P12" i="102"/>
  <c r="P13" i="102"/>
  <c r="O15" i="102"/>
  <c r="L16" i="102"/>
  <c r="Q5" i="101"/>
  <c r="D52" i="101" s="1"/>
  <c r="Q8" i="101"/>
  <c r="Q11" i="101"/>
  <c r="O18" i="101"/>
  <c r="L19" i="101"/>
  <c r="O22" i="101"/>
  <c r="Q6" i="101"/>
  <c r="Q7" i="101"/>
  <c r="Q12" i="101"/>
  <c r="Q13" i="101"/>
  <c r="R4" i="101"/>
  <c r="R9" i="101"/>
  <c r="R10" i="101"/>
  <c r="O17" i="101"/>
  <c r="L18" i="101"/>
  <c r="O21" i="101"/>
  <c r="L22" i="101"/>
  <c r="S4" i="101"/>
  <c r="O16" i="101"/>
  <c r="L17" i="101"/>
  <c r="O20" i="101"/>
  <c r="L21" i="101"/>
  <c r="N23" i="100"/>
  <c r="M24" i="100"/>
  <c r="K24" i="100"/>
  <c r="S12" i="100"/>
  <c r="J23" i="100"/>
  <c r="I24" i="100"/>
  <c r="N24" i="100"/>
  <c r="S6" i="100"/>
  <c r="S10" i="100"/>
  <c r="K23" i="100"/>
  <c r="J24" i="100"/>
  <c r="S9" i="100"/>
  <c r="S11" i="100"/>
  <c r="S13" i="100"/>
  <c r="M23" i="100"/>
  <c r="U5" i="100"/>
  <c r="L26" i="100"/>
  <c r="O29" i="100"/>
  <c r="U9" i="100"/>
  <c r="T8" i="100"/>
  <c r="O27" i="100"/>
  <c r="U4" i="100"/>
  <c r="T7" i="100"/>
  <c r="U8" i="100"/>
  <c r="L27" i="100"/>
  <c r="U7" i="100"/>
  <c r="L28" i="100"/>
  <c r="U6" i="100"/>
  <c r="U10" i="100"/>
  <c r="S5" i="100"/>
  <c r="S7" i="100"/>
  <c r="S8" i="100"/>
  <c r="P4" i="100"/>
  <c r="T4" i="100"/>
  <c r="P5" i="100"/>
  <c r="T5" i="100"/>
  <c r="P6" i="100"/>
  <c r="T6" i="100"/>
  <c r="P7" i="100"/>
  <c r="P8" i="100"/>
  <c r="P9" i="100"/>
  <c r="T9" i="100"/>
  <c r="P10" i="100"/>
  <c r="T10" i="100"/>
  <c r="P11" i="100"/>
  <c r="T11" i="100"/>
  <c r="P12" i="100"/>
  <c r="T12" i="100"/>
  <c r="P13" i="100"/>
  <c r="T13" i="100"/>
  <c r="O15" i="100"/>
  <c r="L16" i="100"/>
  <c r="O19" i="100"/>
  <c r="L20" i="100"/>
  <c r="O23" i="100"/>
  <c r="L24" i="100"/>
  <c r="I28" i="100"/>
  <c r="M28" i="100"/>
  <c r="L29" i="100"/>
  <c r="O30" i="100"/>
  <c r="U11" i="100"/>
  <c r="U12" i="100"/>
  <c r="U13" i="100"/>
  <c r="L15" i="100"/>
  <c r="O18" i="100"/>
  <c r="L19" i="100"/>
  <c r="O22" i="100"/>
  <c r="L23" i="100"/>
  <c r="J28" i="100"/>
  <c r="N28" i="100"/>
  <c r="L30" i="100"/>
  <c r="O17" i="100"/>
  <c r="L18" i="100"/>
  <c r="O21" i="100"/>
  <c r="L22" i="100"/>
  <c r="O25" i="100"/>
  <c r="O26" i="100"/>
  <c r="O28" i="100"/>
  <c r="S4" i="100"/>
  <c r="F54" i="100" s="1"/>
  <c r="O16" i="100"/>
  <c r="L17" i="100"/>
  <c r="O20" i="100"/>
  <c r="L21" i="100"/>
  <c r="O24" i="100"/>
  <c r="L25" i="100"/>
  <c r="Q4" i="102" l="1"/>
  <c r="R4" i="102"/>
  <c r="Q12" i="102"/>
  <c r="R12" i="102"/>
  <c r="R11" i="102"/>
  <c r="Q11" i="102"/>
  <c r="Q7" i="102"/>
  <c r="R7" i="102"/>
  <c r="Q10" i="102"/>
  <c r="R10" i="102"/>
  <c r="R6" i="102"/>
  <c r="Q6" i="102"/>
  <c r="R8" i="102"/>
  <c r="Q8" i="102"/>
  <c r="Q13" i="102"/>
  <c r="R13" i="102"/>
  <c r="R9" i="102"/>
  <c r="Q9" i="102"/>
  <c r="R5" i="102"/>
  <c r="Q5" i="102"/>
  <c r="D54" i="101"/>
  <c r="D55" i="101"/>
  <c r="D53" i="101"/>
  <c r="F68" i="100"/>
  <c r="F69" i="100"/>
  <c r="D54" i="100"/>
  <c r="E54" i="100" s="1"/>
  <c r="G69" i="100"/>
  <c r="G68" i="100"/>
  <c r="R13" i="100"/>
  <c r="Q13" i="100"/>
  <c r="R11" i="100"/>
  <c r="Q11" i="100"/>
  <c r="R9" i="100"/>
  <c r="Q9" i="100"/>
  <c r="R6" i="100"/>
  <c r="Q6" i="100"/>
  <c r="Q4" i="100"/>
  <c r="R4" i="100"/>
  <c r="R8" i="100"/>
  <c r="Q8" i="100"/>
  <c r="D69" i="100"/>
  <c r="D68" i="100"/>
  <c r="C69" i="100"/>
  <c r="C68" i="100"/>
  <c r="R12" i="100"/>
  <c r="Q12" i="100"/>
  <c r="R10" i="100"/>
  <c r="Q10" i="100"/>
  <c r="R7" i="100"/>
  <c r="Q7" i="100"/>
  <c r="R5" i="100"/>
  <c r="Q5" i="100"/>
  <c r="F53" i="100" l="1"/>
  <c r="F55" i="100"/>
  <c r="F52" i="100"/>
  <c r="D55" i="100"/>
  <c r="F70" i="100"/>
  <c r="G64" i="100"/>
  <c r="G65" i="100"/>
  <c r="F64" i="100"/>
  <c r="G61" i="100"/>
  <c r="G62" i="100" s="1"/>
  <c r="F65" i="100"/>
  <c r="D53" i="100"/>
  <c r="E53" i="100" s="1"/>
  <c r="F61" i="100"/>
  <c r="D61" i="100"/>
  <c r="D62" i="100" s="1"/>
  <c r="D52" i="100"/>
  <c r="E52" i="100" s="1"/>
  <c r="E55" i="100" s="1"/>
  <c r="C61" i="100"/>
  <c r="C62" i="100" s="1"/>
  <c r="G70" i="100"/>
  <c r="C70" i="100"/>
  <c r="D70" i="100"/>
  <c r="C65" i="100"/>
  <c r="C64" i="100"/>
  <c r="D65" i="100"/>
  <c r="D64" i="100"/>
  <c r="C9" i="98"/>
  <c r="C7" i="98"/>
  <c r="C3" i="98"/>
  <c r="C2" i="98"/>
  <c r="F66" i="100" l="1"/>
  <c r="G66" i="100"/>
  <c r="G71" i="100" s="1"/>
  <c r="F62" i="100"/>
  <c r="F71" i="100" s="1"/>
  <c r="D66" i="100"/>
  <c r="D71" i="100" s="1"/>
  <c r="C66" i="100"/>
  <c r="C71" i="100" s="1"/>
</calcChain>
</file>

<file path=xl/comments1.xml><?xml version="1.0" encoding="utf-8"?>
<comments xmlns="http://schemas.openxmlformats.org/spreadsheetml/2006/main">
  <authors>
    <author>Shy Shakarov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Shy Shakarov:</t>
        </r>
        <r>
          <rPr>
            <sz val="9"/>
            <color indexed="81"/>
            <rFont val="Tahoma"/>
            <family val="2"/>
          </rPr>
          <t xml:space="preserve">
הסבר על נוסחת חישוב הציון הסופי: טקסט. טקסט. טקסט. טקסט. טקסט. </t>
        </r>
      </text>
    </comment>
  </commentList>
</comments>
</file>

<file path=xl/comments2.xml><?xml version="1.0" encoding="utf-8"?>
<comments xmlns="http://schemas.openxmlformats.org/spreadsheetml/2006/main">
  <authors>
    <author>Shy Shakarov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Shy Shakarov:</t>
        </r>
        <r>
          <rPr>
            <sz val="9"/>
            <color indexed="81"/>
            <rFont val="Tahoma"/>
            <family val="2"/>
          </rPr>
          <t xml:space="preserve">
הסבר על נוסחת חישוב הציון הסופי: טקסט. טקסט. טקסט. טקסט. טקסט. </t>
        </r>
      </text>
    </comment>
  </commentList>
</comments>
</file>

<file path=xl/comments3.xml><?xml version="1.0" encoding="utf-8"?>
<comments xmlns="http://schemas.openxmlformats.org/spreadsheetml/2006/main">
  <authors>
    <author>Shy Shakarov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Shy Shakarov:</t>
        </r>
        <r>
          <rPr>
            <sz val="9"/>
            <color indexed="81"/>
            <rFont val="Tahoma"/>
            <family val="2"/>
          </rPr>
          <t xml:space="preserve">
הסבר על נוסחת חישוב הציון הסופי: טקסט. טקסט. טקסט. טקסט. טקסט. </t>
        </r>
      </text>
    </comment>
  </commentList>
</comments>
</file>

<file path=xl/sharedStrings.xml><?xml version="1.0" encoding="utf-8"?>
<sst xmlns="http://schemas.openxmlformats.org/spreadsheetml/2006/main" count="409" uniqueCount="91">
  <si>
    <t>חשבונאות</t>
  </si>
  <si>
    <t>שם הסטודנט</t>
  </si>
  <si>
    <t>דניאל</t>
  </si>
  <si>
    <t>טלי</t>
  </si>
  <si>
    <t>יעל</t>
  </si>
  <si>
    <t>מיכל</t>
  </si>
  <si>
    <t>רמי</t>
  </si>
  <si>
    <t>שרון</t>
  </si>
  <si>
    <t>מגדר</t>
  </si>
  <si>
    <t>ציון ת. 1</t>
  </si>
  <si>
    <t>ציון ת. 2</t>
  </si>
  <si>
    <t>ציון ת. 3</t>
  </si>
  <si>
    <t>ממוצע  תרגילים</t>
  </si>
  <si>
    <t>ציון פרויקט</t>
  </si>
  <si>
    <t>ציון בחינה</t>
  </si>
  <si>
    <t>ציון סופי</t>
  </si>
  <si>
    <t>ציון במילים</t>
  </si>
  <si>
    <t>ז</t>
  </si>
  <si>
    <t>נ</t>
  </si>
  <si>
    <t>שחר</t>
  </si>
  <si>
    <t xml:space="preserve">ממוצע  כיתתי </t>
  </si>
  <si>
    <t>חציון</t>
  </si>
  <si>
    <t>שכיח</t>
  </si>
  <si>
    <t>מקסימום</t>
  </si>
  <si>
    <t>מינימום</t>
  </si>
  <si>
    <t>נכשלו</t>
  </si>
  <si>
    <t>משקל תרגיל 1</t>
  </si>
  <si>
    <t>משקל תרגיל 2</t>
  </si>
  <si>
    <t>משקל תרגיל 3</t>
  </si>
  <si>
    <t>משקל פרויקט</t>
  </si>
  <si>
    <t>משקל מבחן</t>
  </si>
  <si>
    <t>סה"כ</t>
  </si>
  <si>
    <t>נכשל</t>
  </si>
  <si>
    <t>עובר</t>
  </si>
  <si>
    <t>מצטיין</t>
  </si>
  <si>
    <t>שלחו תרגיל/ נבחנו</t>
  </si>
  <si>
    <t>ס"ה סטודנטים</t>
  </si>
  <si>
    <t>נשים מצטיינות</t>
  </si>
  <si>
    <t>נשים או מצטיינים</t>
  </si>
  <si>
    <t>ת.ז.</t>
  </si>
  <si>
    <t>יעקב</t>
  </si>
  <si>
    <t>סטיית תקן</t>
  </si>
  <si>
    <t>שונות</t>
  </si>
  <si>
    <t>תרגול באקסל</t>
  </si>
  <si>
    <t>נתונים</t>
  </si>
  <si>
    <t>חישובים</t>
  </si>
  <si>
    <t>טבלת משקולות</t>
  </si>
  <si>
    <t>טבלת עזר</t>
  </si>
  <si>
    <t>מיקוד</t>
  </si>
  <si>
    <t>טלפון</t>
  </si>
  <si>
    <t>עברו</t>
  </si>
  <si>
    <t>מצטיינים</t>
  </si>
  <si>
    <t>התמחות</t>
  </si>
  <si>
    <t>שיווק</t>
  </si>
  <si>
    <t>סטודנטים</t>
  </si>
  <si>
    <t>סטודנטיות</t>
  </si>
  <si>
    <t>סמלים</t>
  </si>
  <si>
    <t>שם משפחה</t>
  </si>
  <si>
    <t>רוס</t>
  </si>
  <si>
    <t>לוי</t>
  </si>
  <si>
    <t>כהן</t>
  </si>
  <si>
    <t>פורת</t>
  </si>
  <si>
    <t>בן עמי</t>
  </si>
  <si>
    <t>מימון</t>
  </si>
  <si>
    <t>עידו</t>
  </si>
  <si>
    <t>לא נכשלו</t>
  </si>
  <si>
    <t>מלגות</t>
  </si>
  <si>
    <t>סטודנטיות מצטיינות</t>
  </si>
  <si>
    <t>סטודנטיות או מצטיינים</t>
  </si>
  <si>
    <t>מלגה</t>
  </si>
  <si>
    <t>דירוג</t>
  </si>
  <si>
    <t>אחוזון</t>
  </si>
  <si>
    <t>מתוכם:</t>
  </si>
  <si>
    <t>ממוצע של מקבלי ציון "עובר":</t>
  </si>
  <si>
    <t>בממוצע:</t>
  </si>
  <si>
    <t>&gt;=84.5</t>
  </si>
  <si>
    <t>מ- (כולל)</t>
  </si>
  <si>
    <t>עד (לא כולל)</t>
  </si>
  <si>
    <t>נתונים סיכומיים</t>
  </si>
  <si>
    <t>ספירה</t>
  </si>
  <si>
    <t>סכום</t>
  </si>
  <si>
    <t>סך הכל</t>
  </si>
  <si>
    <t>מ (כולל)</t>
  </si>
  <si>
    <t>מס' אקראי</t>
  </si>
  <si>
    <t>עד (כולל)</t>
  </si>
  <si>
    <t>ס"ה</t>
  </si>
  <si>
    <t>תיאור</t>
  </si>
  <si>
    <t>סוג המלגה</t>
  </si>
  <si>
    <t>גובה המלגה</t>
  </si>
  <si>
    <t>סך הכל 1</t>
  </si>
  <si>
    <t>סך הכל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</si>
</sst>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₪&quot;\ #,##0;[Red]&quot;₪&quot;\ \-#,##0"/>
    <numFmt numFmtId="43" formatCode="_ * #,##0.00_ ;_ * \-#,##0.00_ ;_ * &quot;-&quot;??_ ;_ @_ "/>
    <numFmt numFmtId="164" formatCode="[$-1000000]00000000\-0"/>
    <numFmt numFmtId="165" formatCode="[&lt;=9999999][$-1000000]###\-####;[$-1000000]\(###\)\ ###\-####"/>
    <numFmt numFmtId="166" formatCode="[$-1000000]00000"/>
    <numFmt numFmtId="167" formatCode="0.0"/>
  </numFmts>
  <fonts count="12">
    <font>
      <sz val="10"/>
      <name val="Arial"/>
      <charset val="177"/>
    </font>
    <font>
      <sz val="10"/>
      <name val="Arial"/>
      <family val="2"/>
    </font>
    <font>
      <sz val="10"/>
      <name val="Geneva"/>
      <charset val="177"/>
    </font>
    <font>
      <sz val="10"/>
      <name val="MS Sans Serif"/>
      <family val="2"/>
      <charset val="177"/>
    </font>
    <font>
      <sz val="10"/>
      <name val="David"/>
      <family val="2"/>
      <charset val="177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 val="double"/>
      <sz val="24"/>
      <color rgb="FF0066FF"/>
      <name val="David"/>
      <family val="2"/>
    </font>
    <font>
      <sz val="12"/>
      <name val="Times New Roman"/>
      <family val="1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56">
    <border>
      <left/>
      <right/>
      <top/>
      <bottom/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/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/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 style="double">
        <color rgb="FF0066FF"/>
      </left>
      <right style="medium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double">
        <color rgb="FF0066FF"/>
      </bottom>
      <diagonal/>
    </border>
    <border>
      <left style="medium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medium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medium">
        <color rgb="FF0066FF"/>
      </left>
      <right style="thin">
        <color rgb="FF0066FF"/>
      </right>
      <top/>
      <bottom style="thin">
        <color rgb="FF0066FF"/>
      </bottom>
      <diagonal/>
    </border>
    <border>
      <left style="medium">
        <color rgb="FF0066FF"/>
      </left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double">
        <color rgb="FF0066FF"/>
      </right>
      <top style="double">
        <color rgb="FF0066FF"/>
      </top>
      <bottom style="medium">
        <color rgb="FF0066FF"/>
      </bottom>
      <diagonal/>
    </border>
    <border>
      <left style="thin">
        <color rgb="FF0066FF"/>
      </left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/>
      <diagonal/>
    </border>
    <border>
      <left/>
      <right/>
      <top style="double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 style="medium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medium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 style="thick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ck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medium">
        <color rgb="FF0066FF"/>
      </bottom>
      <diagonal/>
    </border>
    <border>
      <left style="thick">
        <color rgb="FF0066FF"/>
      </left>
      <right style="thin">
        <color rgb="FF0066FF"/>
      </right>
      <top/>
      <bottom style="thin">
        <color rgb="FF0066FF"/>
      </bottom>
      <diagonal/>
    </border>
    <border>
      <left style="thick">
        <color rgb="FF0066FF"/>
      </left>
      <right style="thin">
        <color rgb="FF0066FF"/>
      </right>
      <top style="medium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 style="medium">
        <color rgb="FF0066FF"/>
      </top>
      <bottom style="medium">
        <color rgb="FF0066FF"/>
      </bottom>
      <diagonal/>
    </border>
    <border>
      <left style="thin">
        <color rgb="FF0066FF"/>
      </left>
      <right style="thick">
        <color rgb="FF0066FF"/>
      </right>
      <top style="medium">
        <color rgb="FF0066FF"/>
      </top>
      <bottom style="medium">
        <color rgb="FF0066FF"/>
      </bottom>
      <diagonal/>
    </border>
    <border>
      <left style="thin">
        <color rgb="FF0066FF"/>
      </left>
      <right style="double">
        <color rgb="FF0066FF"/>
      </right>
      <top style="medium">
        <color rgb="FF0066FF"/>
      </top>
      <bottom style="medium">
        <color rgb="FF0066FF"/>
      </bottom>
      <diagonal/>
    </border>
    <border>
      <left style="thick">
        <color rgb="FF0066FF"/>
      </left>
      <right style="thin">
        <color rgb="FF0066FF"/>
      </right>
      <top style="thin">
        <color rgb="FF0066FF"/>
      </top>
      <bottom style="mediumDashed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mediumDashed">
        <color rgb="FF0066FF"/>
      </bottom>
      <diagonal/>
    </border>
    <border>
      <left style="thin">
        <color rgb="FF0066FF"/>
      </left>
      <right/>
      <top style="thin">
        <color rgb="FF0066FF"/>
      </top>
      <bottom style="mediumDashed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mediumDashed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medium">
        <color rgb="FF0066FF"/>
      </bottom>
      <diagonal/>
    </border>
    <border>
      <left style="thin">
        <color rgb="FF0066FF"/>
      </left>
      <right style="double">
        <color rgb="FF0066FF"/>
      </right>
      <top/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/>
      <bottom style="double">
        <color rgb="FF0066FF"/>
      </bottom>
      <diagonal/>
    </border>
    <border>
      <left style="thick">
        <color rgb="FF0066FF"/>
      </left>
      <right style="thin">
        <color rgb="FF0066FF"/>
      </right>
      <top style="mediumDashed">
        <color rgb="FF0066FF"/>
      </top>
      <bottom style="double">
        <color rgb="FF0066FF"/>
      </bottom>
      <diagonal/>
    </border>
    <border>
      <left style="thin">
        <color rgb="FF0066FF"/>
      </left>
      <right/>
      <top/>
      <bottom style="double">
        <color rgb="FF0066FF"/>
      </bottom>
      <diagonal/>
    </border>
    <border>
      <left/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thick">
        <color rgb="FF0066FF"/>
      </right>
      <top style="medium">
        <color rgb="FF0066FF"/>
      </top>
      <bottom style="medium">
        <color rgb="FF0066FF"/>
      </bottom>
      <diagonal/>
    </border>
    <border>
      <left/>
      <right style="thick">
        <color rgb="FF0066FF"/>
      </right>
      <top style="thin">
        <color rgb="FF0066FF"/>
      </top>
      <bottom style="mediumDashed">
        <color rgb="FF0066FF"/>
      </bottom>
      <diagonal/>
    </border>
    <border>
      <left/>
      <right/>
      <top/>
      <bottom style="double">
        <color rgb="FF0066FF"/>
      </bottom>
      <diagonal/>
    </border>
    <border>
      <left style="double">
        <color rgb="FF0066FF"/>
      </left>
      <right style="thick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thick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thick">
        <color rgb="FF0066FF"/>
      </right>
      <top style="thin">
        <color rgb="FF0066FF"/>
      </top>
      <bottom/>
      <diagonal/>
    </border>
    <border>
      <left style="double">
        <color rgb="FF0066FF"/>
      </left>
      <right style="thick">
        <color rgb="FF0066FF"/>
      </right>
      <top style="thin">
        <color rgb="FF0066FF"/>
      </top>
      <bottom style="double">
        <color rgb="FF0066FF"/>
      </bottom>
      <diagonal/>
    </border>
    <border>
      <left style="thick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</borders>
  <cellStyleXfs count="15">
    <xf numFmtId="0" fontId="0" fillId="0" borderId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>
      <alignment horizontal="left"/>
    </xf>
    <xf numFmtId="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>
      <alignment horizontal="right"/>
    </xf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165" fontId="0" fillId="0" borderId="5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6" fontId="0" fillId="0" borderId="5" xfId="0" applyNumberFormat="1" applyBorder="1"/>
    <xf numFmtId="166" fontId="0" fillId="0" borderId="1" xfId="0" applyNumberFormat="1" applyBorder="1"/>
    <xf numFmtId="166" fontId="0" fillId="0" borderId="3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3" xfId="0" applyNumberFormat="1" applyBorder="1"/>
    <xf numFmtId="167" fontId="0" fillId="0" borderId="5" xfId="0" applyNumberFormat="1" applyBorder="1"/>
    <xf numFmtId="167" fontId="0" fillId="0" borderId="1" xfId="0" applyNumberFormat="1" applyBorder="1"/>
    <xf numFmtId="167" fontId="0" fillId="0" borderId="3" xfId="0" applyNumberFormat="1" applyBorder="1"/>
    <xf numFmtId="0" fontId="1" fillId="0" borderId="5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0" xfId="14" applyAlignment="1"/>
    <xf numFmtId="0" fontId="1" fillId="0" borderId="0" xfId="14"/>
    <xf numFmtId="0" fontId="1" fillId="0" borderId="0" xfId="14" applyAlignment="1">
      <alignment horizontal="right"/>
    </xf>
    <xf numFmtId="2" fontId="1" fillId="0" borderId="0" xfId="14" applyNumberFormat="1"/>
    <xf numFmtId="0" fontId="1" fillId="0" borderId="0" xfId="14" applyAlignment="1">
      <alignment horizontal="right" vertical="top" wrapText="1"/>
    </xf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5" xfId="0" applyNumberFormat="1" applyBorder="1"/>
    <xf numFmtId="0" fontId="0" fillId="0" borderId="1" xfId="0" applyNumberFormat="1" applyBorder="1"/>
    <xf numFmtId="0" fontId="0" fillId="0" borderId="3" xfId="0" applyNumberFormat="1" applyBorder="1"/>
    <xf numFmtId="0" fontId="1" fillId="0" borderId="8" xfId="14" applyBorder="1"/>
    <xf numFmtId="2" fontId="1" fillId="0" borderId="8" xfId="14" applyNumberFormat="1" applyBorder="1"/>
    <xf numFmtId="2" fontId="1" fillId="0" borderId="9" xfId="14" applyNumberFormat="1" applyBorder="1"/>
    <xf numFmtId="0" fontId="1" fillId="0" borderId="1" xfId="14" applyBorder="1"/>
    <xf numFmtId="2" fontId="1" fillId="0" borderId="1" xfId="14" applyNumberFormat="1" applyBorder="1"/>
    <xf numFmtId="2" fontId="1" fillId="0" borderId="2" xfId="14" applyNumberFormat="1" applyBorder="1"/>
    <xf numFmtId="0" fontId="1" fillId="0" borderId="1" xfId="14" applyBorder="1" applyAlignment="1">
      <alignment horizontal="right"/>
    </xf>
    <xf numFmtId="0" fontId="1" fillId="0" borderId="2" xfId="14" applyBorder="1"/>
    <xf numFmtId="0" fontId="1" fillId="0" borderId="3" xfId="14" applyBorder="1"/>
    <xf numFmtId="9" fontId="0" fillId="0" borderId="9" xfId="10" applyFont="1" applyBorder="1"/>
    <xf numFmtId="9" fontId="0" fillId="0" borderId="2" xfId="10" applyFont="1" applyBorder="1"/>
    <xf numFmtId="9" fontId="1" fillId="0" borderId="4" xfId="10" applyBorder="1"/>
    <xf numFmtId="0" fontId="1" fillId="0" borderId="9" xfId="14" applyBorder="1"/>
    <xf numFmtId="2" fontId="1" fillId="0" borderId="3" xfId="14" applyNumberFormat="1" applyBorder="1"/>
    <xf numFmtId="2" fontId="1" fillId="0" borderId="4" xfId="14" applyNumberFormat="1" applyBorder="1"/>
    <xf numFmtId="0" fontId="1" fillId="0" borderId="1" xfId="14" applyFont="1" applyBorder="1"/>
    <xf numFmtId="0" fontId="1" fillId="0" borderId="3" xfId="14" applyFont="1" applyBorder="1"/>
    <xf numFmtId="0" fontId="5" fillId="0" borderId="1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3" fontId="0" fillId="0" borderId="5" xfId="0" applyNumberFormat="1" applyBorder="1"/>
    <xf numFmtId="3" fontId="0" fillId="0" borderId="1" xfId="0" applyNumberFormat="1" applyBorder="1"/>
    <xf numFmtId="3" fontId="0" fillId="0" borderId="3" xfId="0" applyNumberFormat="1" applyBorder="1"/>
    <xf numFmtId="0" fontId="5" fillId="0" borderId="12" xfId="14" applyFont="1" applyBorder="1" applyAlignment="1">
      <alignment vertical="top" wrapText="1"/>
    </xf>
    <xf numFmtId="0" fontId="5" fillId="0" borderId="20" xfId="14" applyFont="1" applyBorder="1" applyAlignment="1">
      <alignment vertical="top" wrapText="1"/>
    </xf>
    <xf numFmtId="0" fontId="1" fillId="0" borderId="21" xfId="14" applyBorder="1"/>
    <xf numFmtId="0" fontId="1" fillId="0" borderId="22" xfId="14" applyBorder="1"/>
    <xf numFmtId="0" fontId="0" fillId="0" borderId="23" xfId="0" applyBorder="1"/>
    <xf numFmtId="0" fontId="1" fillId="0" borderId="23" xfId="0" applyFont="1" applyBorder="1" applyAlignment="1">
      <alignment horizontal="left"/>
    </xf>
    <xf numFmtId="0" fontId="1" fillId="0" borderId="23" xfId="0" applyFont="1" applyBorder="1"/>
    <xf numFmtId="0" fontId="5" fillId="0" borderId="24" xfId="0" applyFont="1" applyBorder="1" applyAlignment="1">
      <alignment vertical="top" wrapText="1"/>
    </xf>
    <xf numFmtId="0" fontId="1" fillId="0" borderId="5" xfId="14" applyBorder="1"/>
    <xf numFmtId="0" fontId="10" fillId="0" borderId="0" xfId="0" applyFont="1"/>
    <xf numFmtId="3" fontId="1" fillId="0" borderId="2" xfId="14" applyNumberFormat="1" applyBorder="1"/>
    <xf numFmtId="3" fontId="1" fillId="0" borderId="4" xfId="14" applyNumberFormat="1" applyBorder="1"/>
    <xf numFmtId="3" fontId="0" fillId="0" borderId="25" xfId="0" applyNumberFormat="1" applyBorder="1"/>
    <xf numFmtId="3" fontId="1" fillId="0" borderId="25" xfId="0" applyNumberFormat="1" applyFont="1" applyBorder="1"/>
    <xf numFmtId="9" fontId="0" fillId="0" borderId="26" xfId="10" applyFont="1" applyBorder="1"/>
    <xf numFmtId="9" fontId="0" fillId="0" borderId="4" xfId="10" applyFont="1" applyBorder="1"/>
    <xf numFmtId="0" fontId="11" fillId="0" borderId="0" xfId="14" applyFont="1"/>
    <xf numFmtId="1" fontId="1" fillId="0" borderId="0" xfId="14" applyNumberFormat="1"/>
    <xf numFmtId="0" fontId="5" fillId="3" borderId="7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5" fillId="0" borderId="8" xfId="14" applyFont="1" applyBorder="1" applyAlignment="1">
      <alignment horizontal="center"/>
    </xf>
    <xf numFmtId="0" fontId="5" fillId="0" borderId="9" xfId="14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6" fillId="3" borderId="7" xfId="0" applyFont="1" applyFill="1" applyBorder="1" applyAlignment="1">
      <alignment horizontal="center" vertical="center" textRotation="255" wrapText="1"/>
    </xf>
    <xf numFmtId="0" fontId="6" fillId="3" borderId="10" xfId="0" applyFont="1" applyFill="1" applyBorder="1" applyAlignment="1">
      <alignment horizontal="center" vertical="center" textRotation="255" wrapText="1"/>
    </xf>
    <xf numFmtId="0" fontId="6" fillId="3" borderId="11" xfId="0" applyFont="1" applyFill="1" applyBorder="1" applyAlignment="1">
      <alignment horizontal="center" vertical="center" textRotation="255" wrapText="1"/>
    </xf>
    <xf numFmtId="0" fontId="9" fillId="0" borderId="0" xfId="14" applyFont="1" applyAlignment="1">
      <alignment horizontal="center"/>
    </xf>
    <xf numFmtId="0" fontId="5" fillId="0" borderId="8" xfId="14" applyFont="1" applyBorder="1" applyAlignment="1"/>
    <xf numFmtId="0" fontId="1" fillId="0" borderId="2" xfId="14" applyFont="1" applyBorder="1"/>
    <xf numFmtId="3" fontId="1" fillId="0" borderId="1" xfId="14" applyNumberFormat="1" applyBorder="1"/>
    <xf numFmtId="3" fontId="1" fillId="0" borderId="30" xfId="14" applyNumberFormat="1" applyBorder="1"/>
    <xf numFmtId="0" fontId="1" fillId="0" borderId="30" xfId="14" applyBorder="1"/>
    <xf numFmtId="0" fontId="5" fillId="0" borderId="5" xfId="14" applyFont="1" applyBorder="1" applyAlignment="1">
      <alignment horizontal="center"/>
    </xf>
    <xf numFmtId="0" fontId="5" fillId="0" borderId="6" xfId="14" applyFont="1" applyBorder="1" applyAlignment="1">
      <alignment horizontal="center"/>
    </xf>
    <xf numFmtId="0" fontId="5" fillId="0" borderId="12" xfId="14" applyFont="1" applyBorder="1" applyAlignment="1">
      <alignment horizontal="center"/>
    </xf>
    <xf numFmtId="0" fontId="5" fillId="0" borderId="31" xfId="14" applyFont="1" applyBorder="1" applyAlignment="1">
      <alignment horizontal="center"/>
    </xf>
    <xf numFmtId="0" fontId="5" fillId="0" borderId="33" xfId="14" applyFont="1" applyBorder="1" applyAlignment="1">
      <alignment horizontal="center"/>
    </xf>
    <xf numFmtId="0" fontId="5" fillId="0" borderId="34" xfId="14" applyFont="1" applyBorder="1" applyAlignment="1">
      <alignment horizontal="center"/>
    </xf>
    <xf numFmtId="0" fontId="5" fillId="0" borderId="35" xfId="14" applyFont="1" applyBorder="1" applyAlignment="1">
      <alignment horizontal="center"/>
    </xf>
    <xf numFmtId="0" fontId="5" fillId="0" borderId="36" xfId="14" applyFont="1" applyBorder="1" applyAlignment="1">
      <alignment horizontal="center"/>
    </xf>
    <xf numFmtId="0" fontId="5" fillId="0" borderId="33" xfId="14" applyFont="1" applyBorder="1" applyAlignment="1">
      <alignment horizontal="center"/>
    </xf>
    <xf numFmtId="0" fontId="5" fillId="0" borderId="34" xfId="14" applyFont="1" applyBorder="1" applyAlignment="1">
      <alignment horizontal="center"/>
    </xf>
    <xf numFmtId="0" fontId="5" fillId="0" borderId="36" xfId="14" applyFont="1" applyBorder="1" applyAlignment="1">
      <alignment horizontal="center"/>
    </xf>
    <xf numFmtId="0" fontId="1" fillId="0" borderId="32" xfId="14" applyBorder="1"/>
    <xf numFmtId="0" fontId="5" fillId="0" borderId="35" xfId="14" applyFont="1" applyBorder="1" applyAlignment="1">
      <alignment horizontal="center"/>
    </xf>
    <xf numFmtId="0" fontId="1" fillId="0" borderId="6" xfId="14" applyBorder="1"/>
    <xf numFmtId="0" fontId="1" fillId="0" borderId="37" xfId="14" applyBorder="1"/>
    <xf numFmtId="0" fontId="1" fillId="0" borderId="38" xfId="14" applyBorder="1"/>
    <xf numFmtId="0" fontId="1" fillId="0" borderId="39" xfId="14" applyBorder="1"/>
    <xf numFmtId="3" fontId="1" fillId="0" borderId="37" xfId="14" applyNumberFormat="1" applyBorder="1"/>
    <xf numFmtId="3" fontId="1" fillId="0" borderId="38" xfId="14" applyNumberFormat="1" applyBorder="1"/>
    <xf numFmtId="3" fontId="1" fillId="0" borderId="40" xfId="14" applyNumberFormat="1" applyBorder="1"/>
    <xf numFmtId="0" fontId="1" fillId="0" borderId="4" xfId="14" applyFont="1" applyBorder="1"/>
    <xf numFmtId="0" fontId="1" fillId="0" borderId="42" xfId="14" applyFont="1" applyBorder="1"/>
    <xf numFmtId="0" fontId="1" fillId="0" borderId="41" xfId="14" applyFont="1" applyBorder="1"/>
    <xf numFmtId="6" fontId="1" fillId="0" borderId="1" xfId="14" applyNumberFormat="1" applyFont="1" applyBorder="1"/>
    <xf numFmtId="6" fontId="1" fillId="0" borderId="3" xfId="14" applyNumberFormat="1" applyFont="1" applyBorder="1"/>
    <xf numFmtId="0" fontId="5" fillId="0" borderId="9" xfId="14" applyFont="1" applyBorder="1"/>
    <xf numFmtId="3" fontId="5" fillId="0" borderId="44" xfId="14" applyNumberFormat="1" applyFont="1" applyBorder="1"/>
    <xf numFmtId="3" fontId="5" fillId="0" borderId="43" xfId="14" applyNumberFormat="1" applyFont="1" applyBorder="1"/>
    <xf numFmtId="0" fontId="5" fillId="0" borderId="45" xfId="14" applyFont="1" applyBorder="1"/>
    <xf numFmtId="3" fontId="5" fillId="0" borderId="46" xfId="14" applyNumberFormat="1" applyFont="1" applyBorder="1"/>
    <xf numFmtId="3" fontId="5" fillId="0" borderId="45" xfId="14" applyNumberFormat="1" applyFont="1" applyBorder="1"/>
    <xf numFmtId="0" fontId="5" fillId="0" borderId="47" xfId="14" applyFont="1" applyBorder="1" applyAlignment="1">
      <alignment horizontal="center"/>
    </xf>
    <xf numFmtId="0" fontId="5" fillId="0" borderId="0" xfId="14" applyFont="1" applyBorder="1" applyAlignment="1">
      <alignment horizontal="center"/>
    </xf>
    <xf numFmtId="0" fontId="5" fillId="0" borderId="48" xfId="14" applyFont="1" applyBorder="1" applyAlignment="1">
      <alignment horizontal="center"/>
    </xf>
    <xf numFmtId="0" fontId="5" fillId="0" borderId="27" xfId="14" applyFont="1" applyBorder="1"/>
    <xf numFmtId="0" fontId="1" fillId="0" borderId="28" xfId="14" applyFont="1" applyBorder="1"/>
    <xf numFmtId="0" fontId="1" fillId="0" borderId="49" xfId="14" applyBorder="1"/>
    <xf numFmtId="0" fontId="5" fillId="0" borderId="50" xfId="14" applyFont="1" applyBorder="1"/>
    <xf numFmtId="0" fontId="5" fillId="3" borderId="51" xfId="0" applyFont="1" applyFill="1" applyBorder="1" applyAlignment="1">
      <alignment horizontal="center" vertical="center" textRotation="90"/>
    </xf>
    <xf numFmtId="0" fontId="5" fillId="3" borderId="52" xfId="0" applyFont="1" applyFill="1" applyBorder="1" applyAlignment="1">
      <alignment horizontal="center" vertical="center" textRotation="90"/>
    </xf>
    <xf numFmtId="0" fontId="5" fillId="3" borderId="5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center" vertical="center" textRotation="90"/>
    </xf>
    <xf numFmtId="0" fontId="5" fillId="0" borderId="55" xfId="14" applyFont="1" applyBorder="1" applyAlignment="1"/>
    <xf numFmtId="0" fontId="5" fillId="0" borderId="8" xfId="14" applyFont="1" applyBorder="1"/>
    <xf numFmtId="0" fontId="1" fillId="0" borderId="30" xfId="14" applyFont="1" applyBorder="1"/>
    <xf numFmtId="0" fontId="1" fillId="0" borderId="1" xfId="14" applyNumberFormat="1" applyBorder="1"/>
    <xf numFmtId="0" fontId="1" fillId="0" borderId="29" xfId="14" applyFont="1" applyBorder="1"/>
    <xf numFmtId="3" fontId="1" fillId="0" borderId="1" xfId="14" applyNumberFormat="1" applyFont="1" applyBorder="1"/>
  </cellXfs>
  <cellStyles count="15">
    <cellStyle name="6_x0001_" xfId="1"/>
    <cellStyle name="6A" xfId="2"/>
    <cellStyle name="al (2)" xfId="3"/>
    <cellStyle name="B" xfId="4"/>
    <cellStyle name="Currency [0] _FCG032A" xfId="5"/>
    <cellStyle name="Currency [0] 4_x0007_CG306D" xfId="6"/>
    <cellStyle name="H1 (2)_FCG046A" xfId="7"/>
    <cellStyle name="MS_English" xfId="8"/>
    <cellStyle name="nal (2)_RF (2)" xfId="9"/>
    <cellStyle name="Normal" xfId="0" builtinId="0"/>
    <cellStyle name="Normal 2" xfId="14"/>
    <cellStyle name="Percent" xfId="10" builtinId="5"/>
    <cellStyle name="RF (2)" xfId="11"/>
    <cellStyle name="sh_FCG320B" xfId="12"/>
    <cellStyle name="Spelling 1033,0" xfId="13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%20Documents\&#1513;&#1511;&#1512;&#1493;&#1489;%20&#1502;&#1504;&#1513;&#1492;%20&#1493;&#1490;'&#1504;&#1497;\&#1492;&#1513;&#1499;&#1512;&#1492;\_&#1513;&#1493;&#1499;&#1512;&#1497;&#1501;%20&#1513;&#1506;&#1494;&#1489;&#1493;\&#1504;&#1495;&#1502;&#1497;&#1492;%20&#1496;&#1489;&#1497;&#1489;\&#1496;&#1489;&#1497;&#1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זקים והפסדים בגין עזיבה"/>
      <sheetName val="נזקים והפסדים בגין עזיבה ממוין"/>
      <sheetName val="בדיקת תקינות בעזיבה"/>
      <sheetName val="תחשיבים כולל שינויים בחוזה"/>
      <sheetName val="תחשיבים לפי חוזה מקורי"/>
      <sheetName val="נתוני עזר"/>
      <sheetName val="מצב חובות ובטחונות"/>
      <sheetName val="מדד המחירים לצרכן - חילן"/>
      <sheetName val="שערי מטח בנק ישרא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6000</v>
          </cell>
        </row>
      </sheetData>
      <sheetData sheetId="6" refreshError="1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2"/>
  <sheetViews>
    <sheetView rightToLeft="1" tabSelected="1" workbookViewId="0">
      <selection sqref="A1:U1"/>
    </sheetView>
  </sheetViews>
  <sheetFormatPr defaultRowHeight="12.75"/>
  <cols>
    <col min="1" max="1" width="4.7109375" style="20" customWidth="1"/>
    <col min="2" max="2" width="22.28515625" style="20" bestFit="1" customWidth="1"/>
    <col min="3" max="3" width="10.28515625" style="20" bestFit="1" customWidth="1"/>
    <col min="4" max="4" width="10.140625" style="20" bestFit="1" customWidth="1"/>
    <col min="5" max="6" width="8.5703125" style="20" bestFit="1" customWidth="1"/>
    <col min="7" max="7" width="8.85546875" style="20" bestFit="1" customWidth="1"/>
    <col min="8" max="8" width="8.140625" style="20" bestFit="1" customWidth="1"/>
    <col min="9" max="12" width="7" style="20" customWidth="1"/>
    <col min="13" max="13" width="8.7109375" style="21" customWidth="1"/>
    <col min="14" max="14" width="8.140625" style="21" customWidth="1"/>
    <col min="15" max="15" width="6.5703125" style="20" customWidth="1"/>
    <col min="16" max="16384" width="9.140625" style="20"/>
  </cols>
  <sheetData>
    <row r="1" spans="1:21" ht="30.75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 thickBot="1"/>
    <row r="3" spans="1:21" s="19" customFormat="1" ht="39.75" thickTop="1" thickBot="1">
      <c r="A3" s="75" t="s">
        <v>44</v>
      </c>
      <c r="B3" s="47" t="s">
        <v>39</v>
      </c>
      <c r="C3" s="48" t="s">
        <v>1</v>
      </c>
      <c r="D3" s="48" t="s">
        <v>57</v>
      </c>
      <c r="E3" s="48" t="s">
        <v>8</v>
      </c>
      <c r="F3" s="48" t="s">
        <v>49</v>
      </c>
      <c r="G3" s="48" t="s">
        <v>48</v>
      </c>
      <c r="H3" s="48" t="s">
        <v>52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8" t="s">
        <v>14</v>
      </c>
      <c r="O3" s="48" t="s">
        <v>15</v>
      </c>
      <c r="P3" s="48" t="s">
        <v>16</v>
      </c>
      <c r="Q3" s="48" t="s">
        <v>37</v>
      </c>
      <c r="R3" s="48" t="s">
        <v>38</v>
      </c>
      <c r="S3" s="59" t="s">
        <v>65</v>
      </c>
      <c r="T3" s="52" t="s">
        <v>70</v>
      </c>
      <c r="U3" s="53" t="s">
        <v>71</v>
      </c>
    </row>
    <row r="4" spans="1:21">
      <c r="A4" s="76"/>
      <c r="B4" s="26">
        <v>123456789</v>
      </c>
      <c r="C4" s="3" t="s">
        <v>2</v>
      </c>
      <c r="D4" s="16" t="s">
        <v>58</v>
      </c>
      <c r="E4" s="27" t="s">
        <v>17</v>
      </c>
      <c r="F4" s="4">
        <v>9877665</v>
      </c>
      <c r="G4" s="7">
        <v>123</v>
      </c>
      <c r="H4" s="16" t="s">
        <v>53</v>
      </c>
      <c r="I4" s="3">
        <v>89</v>
      </c>
      <c r="J4" s="3">
        <v>86</v>
      </c>
      <c r="K4" s="3">
        <v>99</v>
      </c>
      <c r="L4" s="10">
        <f t="shared" ref="L4:L13" si="0">AVERAGE(I4:K4)</f>
        <v>91.333333333333329</v>
      </c>
      <c r="M4" s="3">
        <v>99</v>
      </c>
      <c r="N4" s="3">
        <v>80</v>
      </c>
      <c r="O4" s="13">
        <f>I4*$C$32+J4*$C$33+K4*$C$34+M4*$C$35+N4*$C$36</f>
        <v>89.1</v>
      </c>
      <c r="P4" s="3" t="str">
        <f>IF(O4&lt;$C$41,$B$40,IF(O4&lt;$C$42,$B$41,$B$42))</f>
        <v>מצטיין</v>
      </c>
      <c r="Q4" s="49">
        <f>IF(AND(E4=$C$46,P4=$B$42),$C$52,0)</f>
        <v>0</v>
      </c>
      <c r="R4" s="49">
        <f>IF(OR(E4=$C$46,P4=$B$42),$C$53,"")</f>
        <v>2000</v>
      </c>
      <c r="S4" s="64" t="str">
        <f>IF(NOT(O4&lt;$C$41),$C$54,"")</f>
        <v>מלגה</v>
      </c>
      <c r="T4" s="65"/>
      <c r="U4" s="66"/>
    </row>
    <row r="5" spans="1:21">
      <c r="A5" s="76"/>
      <c r="B5" s="24">
        <v>193878400</v>
      </c>
      <c r="C5" s="1" t="s">
        <v>3</v>
      </c>
      <c r="D5" s="17" t="s">
        <v>59</v>
      </c>
      <c r="E5" s="28" t="s">
        <v>18</v>
      </c>
      <c r="F5" s="5">
        <v>9876544</v>
      </c>
      <c r="G5" s="8">
        <v>70000</v>
      </c>
      <c r="H5" s="17" t="s">
        <v>53</v>
      </c>
      <c r="I5" s="1">
        <v>81</v>
      </c>
      <c r="J5" s="1">
        <v>80</v>
      </c>
      <c r="K5" s="1">
        <v>82</v>
      </c>
      <c r="L5" s="11">
        <f t="shared" si="0"/>
        <v>81</v>
      </c>
      <c r="M5" s="1">
        <v>81</v>
      </c>
      <c r="N5" s="1">
        <v>81</v>
      </c>
      <c r="O5" s="14">
        <f t="shared" ref="O5:O13" si="1">I5*$C$32+J5*$C$33+K5*$C$34+M5*$C$35+N5*$C$36</f>
        <v>81</v>
      </c>
      <c r="P5" s="1" t="str">
        <f t="shared" ref="P5:P13" si="2">IF(O5&lt;$C$41,$B$40,IF(O5&lt;$C$42,$B$41,$B$42))</f>
        <v>עובר</v>
      </c>
      <c r="Q5" s="50">
        <f>IF(AND(E5=$C$46,P5=$B$42),$C$52,0)</f>
        <v>0</v>
      </c>
      <c r="R5" s="50">
        <f>IF(OR(E5=$C$46,P5=$B$42),$C$53,"")</f>
        <v>2000</v>
      </c>
      <c r="S5" s="50" t="str">
        <f>IF(NOT(O5&lt;$C$41),$C$54,"")</f>
        <v>מלגה</v>
      </c>
      <c r="T5" s="50"/>
      <c r="U5" s="40"/>
    </row>
    <row r="6" spans="1:21">
      <c r="A6" s="76"/>
      <c r="B6" s="24">
        <v>658370843</v>
      </c>
      <c r="C6" s="1" t="s">
        <v>4</v>
      </c>
      <c r="D6" s="17" t="s">
        <v>60</v>
      </c>
      <c r="E6" s="28" t="s">
        <v>18</v>
      </c>
      <c r="F6" s="5">
        <v>2118758</v>
      </c>
      <c r="G6" s="8">
        <v>55326</v>
      </c>
      <c r="H6" s="17" t="s">
        <v>53</v>
      </c>
      <c r="I6" s="1">
        <v>67</v>
      </c>
      <c r="J6" s="1">
        <v>99</v>
      </c>
      <c r="K6" s="1">
        <v>69</v>
      </c>
      <c r="L6" s="11">
        <f t="shared" si="0"/>
        <v>78.333333333333329</v>
      </c>
      <c r="M6" s="1">
        <v>90</v>
      </c>
      <c r="N6" s="1">
        <v>85</v>
      </c>
      <c r="O6" s="14">
        <f t="shared" si="1"/>
        <v>84.5</v>
      </c>
      <c r="P6" s="1" t="str">
        <f t="shared" si="2"/>
        <v>מצטיין</v>
      </c>
      <c r="Q6" s="50">
        <f>IF(AND(E6=$C$46,P6=$B$42),$C$52,0)</f>
        <v>4000</v>
      </c>
      <c r="R6" s="50">
        <f>IF(OR(E6=$C$46,P6=$B$42),$C$53,"")</f>
        <v>2000</v>
      </c>
      <c r="S6" s="50" t="str">
        <f>IF(NOT(O6&lt;$C$41),$C$54,"")</f>
        <v>מלגה</v>
      </c>
      <c r="T6" s="50"/>
      <c r="U6" s="40"/>
    </row>
    <row r="7" spans="1:21">
      <c r="A7" s="76"/>
      <c r="B7" s="24">
        <v>830998987</v>
      </c>
      <c r="C7" s="1" t="s">
        <v>5</v>
      </c>
      <c r="D7" s="17" t="s">
        <v>61</v>
      </c>
      <c r="E7" s="28" t="s">
        <v>18</v>
      </c>
      <c r="F7" s="5">
        <v>3527439</v>
      </c>
      <c r="G7" s="8">
        <v>56324</v>
      </c>
      <c r="H7" s="17" t="s">
        <v>53</v>
      </c>
      <c r="I7" s="1">
        <v>80</v>
      </c>
      <c r="J7" s="1"/>
      <c r="K7" s="1">
        <v>87</v>
      </c>
      <c r="L7" s="11">
        <f t="shared" si="0"/>
        <v>83.5</v>
      </c>
      <c r="M7" s="1">
        <v>90</v>
      </c>
      <c r="N7" s="1"/>
      <c r="O7" s="14">
        <f t="shared" si="1"/>
        <v>43.7</v>
      </c>
      <c r="P7" s="1" t="str">
        <f t="shared" si="2"/>
        <v>נכשל</v>
      </c>
      <c r="Q7" s="50">
        <f>IF(AND(E7=$C$46,P7=$B$42),$C$52,0)</f>
        <v>0</v>
      </c>
      <c r="R7" s="50">
        <f>IF(OR(E7=$C$46,P7=$B$42),$C$53,"")</f>
        <v>2000</v>
      </c>
      <c r="S7" s="50" t="str">
        <f>IF(NOT(O7&lt;$C$41),$C$54,"")</f>
        <v/>
      </c>
      <c r="T7" s="50"/>
      <c r="U7" s="40"/>
    </row>
    <row r="8" spans="1:21">
      <c r="A8" s="76"/>
      <c r="B8" s="26">
        <v>123456789</v>
      </c>
      <c r="C8" s="1" t="s">
        <v>40</v>
      </c>
      <c r="D8" s="17" t="s">
        <v>62</v>
      </c>
      <c r="E8" s="28" t="s">
        <v>17</v>
      </c>
      <c r="F8" s="5">
        <v>7563094</v>
      </c>
      <c r="G8" s="8">
        <v>86534</v>
      </c>
      <c r="H8" s="17" t="s">
        <v>53</v>
      </c>
      <c r="I8" s="1">
        <v>91</v>
      </c>
      <c r="J8" s="1">
        <v>79</v>
      </c>
      <c r="K8" s="1">
        <v>85</v>
      </c>
      <c r="L8" s="11">
        <f t="shared" si="0"/>
        <v>85</v>
      </c>
      <c r="M8" s="1">
        <v>100</v>
      </c>
      <c r="N8" s="1">
        <v>50</v>
      </c>
      <c r="O8" s="14">
        <f t="shared" si="1"/>
        <v>75.5</v>
      </c>
      <c r="P8" s="1" t="str">
        <f t="shared" si="2"/>
        <v>עובר</v>
      </c>
      <c r="Q8" s="50">
        <f>IF(AND(E8=$C$46,P8=$B$42),$C$52,0)</f>
        <v>0</v>
      </c>
      <c r="R8" s="50" t="str">
        <f>IF(OR(E8=$C$46,P8=$B$42),$C$53,"")</f>
        <v/>
      </c>
      <c r="S8" s="50" t="str">
        <f>IF(NOT(O8&lt;$C$41),$C$54,"")</f>
        <v>מלגה</v>
      </c>
      <c r="T8" s="50"/>
      <c r="U8" s="40"/>
    </row>
    <row r="9" spans="1:21">
      <c r="A9" s="76"/>
      <c r="B9" s="24">
        <v>298754355</v>
      </c>
      <c r="C9" s="1" t="s">
        <v>6</v>
      </c>
      <c r="D9" s="17" t="s">
        <v>60</v>
      </c>
      <c r="E9" s="28" t="s">
        <v>17</v>
      </c>
      <c r="F9" s="5">
        <v>8763456</v>
      </c>
      <c r="G9" s="8">
        <v>83934</v>
      </c>
      <c r="H9" s="17" t="s">
        <v>0</v>
      </c>
      <c r="I9" s="1">
        <v>88</v>
      </c>
      <c r="J9" s="1">
        <v>90</v>
      </c>
      <c r="K9" s="1">
        <v>74</v>
      </c>
      <c r="L9" s="11">
        <f t="shared" si="0"/>
        <v>84</v>
      </c>
      <c r="M9" s="1">
        <v>55</v>
      </c>
      <c r="N9" s="1">
        <v>45</v>
      </c>
      <c r="O9" s="14">
        <f t="shared" si="1"/>
        <v>59.7</v>
      </c>
      <c r="P9" s="1" t="str">
        <f t="shared" si="2"/>
        <v>עובר</v>
      </c>
      <c r="Q9" s="50">
        <f>IF(AND(E9=$C$46,P9=$B$42),$C$52,0)</f>
        <v>0</v>
      </c>
      <c r="R9" s="50" t="str">
        <f>IF(OR(E9=$C$46,P9=$B$42),$C$53,"")</f>
        <v/>
      </c>
      <c r="S9" s="50" t="str">
        <f>IF(NOT(O9&lt;$C$41),$C$54,"")</f>
        <v>מלגה</v>
      </c>
      <c r="T9" s="50"/>
      <c r="U9" s="40"/>
    </row>
    <row r="10" spans="1:21">
      <c r="A10" s="76"/>
      <c r="B10" s="24">
        <v>983687692</v>
      </c>
      <c r="C10" s="1" t="s">
        <v>7</v>
      </c>
      <c r="D10" s="17" t="s">
        <v>63</v>
      </c>
      <c r="E10" s="28" t="s">
        <v>18</v>
      </c>
      <c r="F10" s="5">
        <v>6347234</v>
      </c>
      <c r="G10" s="8">
        <v>55235</v>
      </c>
      <c r="H10" s="17" t="s">
        <v>0</v>
      </c>
      <c r="I10" s="1">
        <v>45</v>
      </c>
      <c r="J10" s="1">
        <v>60</v>
      </c>
      <c r="K10" s="1"/>
      <c r="L10" s="11">
        <f t="shared" si="0"/>
        <v>52.5</v>
      </c>
      <c r="M10" s="1">
        <v>99</v>
      </c>
      <c r="N10" s="1">
        <v>94</v>
      </c>
      <c r="O10" s="14">
        <f t="shared" si="1"/>
        <v>77.800000000000011</v>
      </c>
      <c r="P10" s="1" t="str">
        <f t="shared" si="2"/>
        <v>עובר</v>
      </c>
      <c r="Q10" s="50">
        <f>IF(AND(E10=$C$46,P10=$B$42),$C$52,0)</f>
        <v>0</v>
      </c>
      <c r="R10" s="50">
        <f>IF(OR(E10=$C$46,P10=$B$42),$C$53,"")</f>
        <v>2000</v>
      </c>
      <c r="S10" s="50" t="str">
        <f>IF(NOT(O10&lt;$C$41),$C$54,"")</f>
        <v>מלגה</v>
      </c>
      <c r="T10" s="50"/>
      <c r="U10" s="40"/>
    </row>
    <row r="11" spans="1:21">
      <c r="A11" s="76"/>
      <c r="B11" s="24">
        <v>947465892</v>
      </c>
      <c r="C11" s="1" t="s">
        <v>19</v>
      </c>
      <c r="D11" s="17" t="s">
        <v>59</v>
      </c>
      <c r="E11" s="28" t="s">
        <v>17</v>
      </c>
      <c r="F11" s="5">
        <v>3434324</v>
      </c>
      <c r="G11" s="8">
        <v>41466</v>
      </c>
      <c r="H11" s="17" t="s">
        <v>0</v>
      </c>
      <c r="I11" s="1"/>
      <c r="J11" s="1">
        <v>79</v>
      </c>
      <c r="K11" s="1">
        <v>99</v>
      </c>
      <c r="L11" s="11">
        <f t="shared" si="0"/>
        <v>89</v>
      </c>
      <c r="M11" s="1">
        <v>86</v>
      </c>
      <c r="N11" s="1">
        <v>65</v>
      </c>
      <c r="O11" s="14">
        <f t="shared" si="1"/>
        <v>69.599999999999994</v>
      </c>
      <c r="P11" s="1" t="str">
        <f t="shared" si="2"/>
        <v>עובר</v>
      </c>
      <c r="Q11" s="50">
        <f>IF(AND(E11=$C$46,P11=$B$42),$C$52,0)</f>
        <v>0</v>
      </c>
      <c r="R11" s="50" t="str">
        <f>IF(OR(E11=$C$46,P11=$B$42),$C$53,"")</f>
        <v/>
      </c>
      <c r="S11" s="50" t="str">
        <f>IF(NOT(O11&lt;$C$41),$C$54,"")</f>
        <v>מלגה</v>
      </c>
      <c r="T11" s="50"/>
      <c r="U11" s="40"/>
    </row>
    <row r="12" spans="1:21">
      <c r="A12" s="76"/>
      <c r="B12" s="24">
        <v>388923057</v>
      </c>
      <c r="C12" s="1" t="s">
        <v>5</v>
      </c>
      <c r="D12" s="17" t="s">
        <v>64</v>
      </c>
      <c r="E12" s="28" t="s">
        <v>18</v>
      </c>
      <c r="F12" s="5">
        <v>8743644</v>
      </c>
      <c r="G12" s="8">
        <v>44141</v>
      </c>
      <c r="H12" s="17" t="s">
        <v>0</v>
      </c>
      <c r="I12" s="1">
        <v>60</v>
      </c>
      <c r="J12" s="1">
        <v>100</v>
      </c>
      <c r="K12" s="1">
        <v>80</v>
      </c>
      <c r="L12" s="11">
        <f t="shared" si="0"/>
        <v>80</v>
      </c>
      <c r="M12" s="1">
        <v>40</v>
      </c>
      <c r="N12" s="1">
        <v>61</v>
      </c>
      <c r="O12" s="14">
        <f t="shared" si="1"/>
        <v>60.400000000000006</v>
      </c>
      <c r="P12" s="1" t="str">
        <f t="shared" si="2"/>
        <v>עובר</v>
      </c>
      <c r="Q12" s="50">
        <f>IF(AND(E12=$C$46,P12=$B$42),$C$52,0)</f>
        <v>0</v>
      </c>
      <c r="R12" s="50">
        <f>IF(OR(E12=$C$46,P12=$B$42),$C$53,"")</f>
        <v>2000</v>
      </c>
      <c r="S12" s="50" t="str">
        <f>IF(NOT(O12&lt;$C$41),$C$54,"")</f>
        <v>מלגה</v>
      </c>
      <c r="T12" s="50"/>
      <c r="U12" s="40"/>
    </row>
    <row r="13" spans="1:21" ht="13.5" thickBot="1">
      <c r="A13" s="77"/>
      <c r="B13" s="25">
        <v>244576280</v>
      </c>
      <c r="C13" s="2" t="s">
        <v>19</v>
      </c>
      <c r="D13" s="18" t="s">
        <v>59</v>
      </c>
      <c r="E13" s="29" t="s">
        <v>18</v>
      </c>
      <c r="F13" s="6">
        <v>3252524</v>
      </c>
      <c r="G13" s="9">
        <v>44451</v>
      </c>
      <c r="H13" s="18" t="s">
        <v>0</v>
      </c>
      <c r="I13" s="2">
        <v>94</v>
      </c>
      <c r="J13" s="2">
        <v>100</v>
      </c>
      <c r="K13" s="2">
        <v>93</v>
      </c>
      <c r="L13" s="12">
        <f t="shared" si="0"/>
        <v>95.666666666666671</v>
      </c>
      <c r="M13" s="2">
        <v>95</v>
      </c>
      <c r="N13" s="2">
        <v>100</v>
      </c>
      <c r="O13" s="15">
        <f t="shared" si="1"/>
        <v>97.2</v>
      </c>
      <c r="P13" s="2" t="str">
        <f t="shared" si="2"/>
        <v>מצטיין</v>
      </c>
      <c r="Q13" s="51">
        <f>IF(AND(E13=$C$46,P13=$B$42),$C$52,0)</f>
        <v>4000</v>
      </c>
      <c r="R13" s="51">
        <f>IF(OR(E13=$C$46,P13=$B$42),$C$53,"")</f>
        <v>2000</v>
      </c>
      <c r="S13" s="51" t="str">
        <f>IF(NOT(O13&lt;$C$41),$C$54,"")</f>
        <v>מלגה</v>
      </c>
      <c r="T13" s="51"/>
      <c r="U13" s="67"/>
    </row>
    <row r="14" spans="1:21" ht="14.25" thickTop="1" thickBot="1">
      <c r="A14"/>
      <c r="M14" s="20"/>
      <c r="N14" s="20"/>
    </row>
    <row r="15" spans="1:21" ht="13.5" thickTop="1">
      <c r="A15" s="78" t="s">
        <v>45</v>
      </c>
      <c r="B15" s="30" t="s">
        <v>20</v>
      </c>
      <c r="C15" s="30"/>
      <c r="D15" s="30"/>
      <c r="E15" s="30"/>
      <c r="F15" s="30"/>
      <c r="G15" s="30"/>
      <c r="H15" s="30"/>
      <c r="I15" s="31">
        <f>AVERAGE(I4:I13)</f>
        <v>77.222222222222229</v>
      </c>
      <c r="J15" s="31">
        <f t="shared" ref="J15:O15" si="3">AVERAGE(J4:J13)</f>
        <v>85.888888888888886</v>
      </c>
      <c r="K15" s="31">
        <f t="shared" si="3"/>
        <v>85.333333333333329</v>
      </c>
      <c r="L15" s="31">
        <f t="shared" si="3"/>
        <v>82.033333333333331</v>
      </c>
      <c r="M15" s="31">
        <f t="shared" si="3"/>
        <v>83.5</v>
      </c>
      <c r="N15" s="31">
        <f t="shared" si="3"/>
        <v>73.444444444444443</v>
      </c>
      <c r="O15" s="32">
        <f t="shared" si="3"/>
        <v>73.849999999999994</v>
      </c>
    </row>
    <row r="16" spans="1:21">
      <c r="A16" s="79"/>
      <c r="B16" s="33" t="s">
        <v>21</v>
      </c>
      <c r="C16" s="33"/>
      <c r="D16" s="33"/>
      <c r="E16" s="33"/>
      <c r="F16" s="33"/>
      <c r="G16" s="33"/>
      <c r="H16" s="33"/>
      <c r="I16" s="34">
        <f>MEDIAN(I4:I13)</f>
        <v>81</v>
      </c>
      <c r="J16" s="34">
        <f t="shared" ref="J16:O16" si="4">MEDIAN(J4:J13)</f>
        <v>86</v>
      </c>
      <c r="K16" s="34">
        <f t="shared" si="4"/>
        <v>85</v>
      </c>
      <c r="L16" s="34">
        <f t="shared" si="4"/>
        <v>83.75</v>
      </c>
      <c r="M16" s="34">
        <f t="shared" si="4"/>
        <v>90</v>
      </c>
      <c r="N16" s="34">
        <f t="shared" si="4"/>
        <v>80</v>
      </c>
      <c r="O16" s="35">
        <f t="shared" si="4"/>
        <v>76.650000000000006</v>
      </c>
    </row>
    <row r="17" spans="1:15">
      <c r="A17" s="79"/>
      <c r="B17" s="33" t="s">
        <v>22</v>
      </c>
      <c r="C17" s="33"/>
      <c r="D17" s="33"/>
      <c r="E17" s="33"/>
      <c r="F17" s="33"/>
      <c r="G17" s="33"/>
      <c r="H17" s="33"/>
      <c r="I17" s="34" t="e">
        <f>_xlfn.MODE.SNGL(I4:I13)</f>
        <v>#N/A</v>
      </c>
      <c r="J17" s="34">
        <f t="shared" ref="J17:O17" si="5">_xlfn.MODE.SNGL(J4:J13)</f>
        <v>79</v>
      </c>
      <c r="K17" s="34">
        <f t="shared" si="5"/>
        <v>99</v>
      </c>
      <c r="L17" s="34" t="e">
        <f t="shared" si="5"/>
        <v>#N/A</v>
      </c>
      <c r="M17" s="34">
        <f t="shared" si="5"/>
        <v>99</v>
      </c>
      <c r="N17" s="34" t="e">
        <f t="shared" si="5"/>
        <v>#N/A</v>
      </c>
      <c r="O17" s="35" t="e">
        <f t="shared" si="5"/>
        <v>#N/A</v>
      </c>
    </row>
    <row r="18" spans="1:15">
      <c r="A18" s="79"/>
      <c r="B18" s="33" t="s">
        <v>23</v>
      </c>
      <c r="C18" s="33"/>
      <c r="D18" s="33"/>
      <c r="E18" s="33"/>
      <c r="F18" s="33"/>
      <c r="G18" s="33"/>
      <c r="H18" s="33"/>
      <c r="I18" s="34">
        <f>MAX(I4:I13)</f>
        <v>94</v>
      </c>
      <c r="J18" s="34">
        <f t="shared" ref="J18:O18" si="6">MAX(J4:J13)</f>
        <v>100</v>
      </c>
      <c r="K18" s="34">
        <f t="shared" si="6"/>
        <v>99</v>
      </c>
      <c r="L18" s="34">
        <f t="shared" si="6"/>
        <v>95.666666666666671</v>
      </c>
      <c r="M18" s="34">
        <f t="shared" si="6"/>
        <v>100</v>
      </c>
      <c r="N18" s="34">
        <f t="shared" si="6"/>
        <v>100</v>
      </c>
      <c r="O18" s="35">
        <f t="shared" si="6"/>
        <v>97.2</v>
      </c>
    </row>
    <row r="19" spans="1:15">
      <c r="A19" s="79"/>
      <c r="B19" s="33" t="s">
        <v>24</v>
      </c>
      <c r="C19" s="33"/>
      <c r="D19" s="33"/>
      <c r="E19" s="33"/>
      <c r="F19" s="33"/>
      <c r="G19" s="33"/>
      <c r="H19" s="33"/>
      <c r="I19" s="34">
        <f>MIN(I4:I13)</f>
        <v>45</v>
      </c>
      <c r="J19" s="34">
        <f t="shared" ref="J19:O19" si="7">MIN(J4:J13)</f>
        <v>60</v>
      </c>
      <c r="K19" s="34">
        <f t="shared" si="7"/>
        <v>69</v>
      </c>
      <c r="L19" s="34">
        <f t="shared" si="7"/>
        <v>52.5</v>
      </c>
      <c r="M19" s="34">
        <f t="shared" si="7"/>
        <v>40</v>
      </c>
      <c r="N19" s="34">
        <f t="shared" si="7"/>
        <v>45</v>
      </c>
      <c r="O19" s="35">
        <f t="shared" si="7"/>
        <v>43.7</v>
      </c>
    </row>
    <row r="20" spans="1:15">
      <c r="A20" s="79"/>
      <c r="B20" s="33" t="s">
        <v>41</v>
      </c>
      <c r="C20" s="33"/>
      <c r="D20" s="33"/>
      <c r="E20" s="33"/>
      <c r="F20" s="33"/>
      <c r="G20" s="33"/>
      <c r="H20" s="33"/>
      <c r="I20" s="34">
        <f>_xlfn.STDEV.P(I4:I13)</f>
        <v>15.59043708159145</v>
      </c>
      <c r="J20" s="34">
        <f t="shared" ref="J20:O20" si="8">_xlfn.STDEV.P(J4:J13)</f>
        <v>12.4136523808305</v>
      </c>
      <c r="K20" s="34">
        <f t="shared" si="8"/>
        <v>9.8319208025017506</v>
      </c>
      <c r="L20" s="34">
        <f t="shared" si="8"/>
        <v>11.076200712438522</v>
      </c>
      <c r="M20" s="34">
        <f t="shared" si="8"/>
        <v>19.200260414900626</v>
      </c>
      <c r="N20" s="34">
        <f t="shared" si="8"/>
        <v>18.093038017186554</v>
      </c>
      <c r="O20" s="35">
        <f t="shared" si="8"/>
        <v>15.062752072579535</v>
      </c>
    </row>
    <row r="21" spans="1:15">
      <c r="A21" s="79"/>
      <c r="B21" s="33" t="s">
        <v>42</v>
      </c>
      <c r="C21" s="33"/>
      <c r="D21" s="33"/>
      <c r="E21" s="33"/>
      <c r="F21" s="33"/>
      <c r="G21" s="33"/>
      <c r="H21" s="33"/>
      <c r="I21" s="34">
        <f>_xlfn.VAR.P(I4:I13)</f>
        <v>243.06172839506172</v>
      </c>
      <c r="J21" s="34">
        <f t="shared" ref="J21:O21" si="9">_xlfn.VAR.P(J4:J13)</f>
        <v>154.09876543209876</v>
      </c>
      <c r="K21" s="34">
        <f t="shared" si="9"/>
        <v>96.666666666666671</v>
      </c>
      <c r="L21" s="34">
        <f t="shared" si="9"/>
        <v>122.68222222222364</v>
      </c>
      <c r="M21" s="34">
        <f t="shared" si="9"/>
        <v>368.65</v>
      </c>
      <c r="N21" s="34">
        <f t="shared" si="9"/>
        <v>327.35802469135803</v>
      </c>
      <c r="O21" s="35">
        <f t="shared" si="9"/>
        <v>226.88649999999907</v>
      </c>
    </row>
    <row r="22" spans="1:15">
      <c r="A22" s="79"/>
      <c r="B22" s="33" t="s">
        <v>35</v>
      </c>
      <c r="C22" s="33"/>
      <c r="D22" s="33"/>
      <c r="E22" s="33"/>
      <c r="F22" s="33"/>
      <c r="G22" s="33"/>
      <c r="H22" s="33"/>
      <c r="I22" s="34">
        <f>COUNT(I4:I13)</f>
        <v>9</v>
      </c>
      <c r="J22" s="34">
        <f t="shared" ref="J22:O22" si="10">COUNT(J4:J13)</f>
        <v>9</v>
      </c>
      <c r="K22" s="34">
        <f t="shared" si="10"/>
        <v>9</v>
      </c>
      <c r="L22" s="34">
        <f t="shared" si="10"/>
        <v>10</v>
      </c>
      <c r="M22" s="34">
        <f t="shared" si="10"/>
        <v>10</v>
      </c>
      <c r="N22" s="34">
        <f t="shared" si="10"/>
        <v>9</v>
      </c>
      <c r="O22" s="35">
        <f t="shared" si="10"/>
        <v>10</v>
      </c>
    </row>
    <row r="23" spans="1:15">
      <c r="A23" s="79"/>
      <c r="B23" s="1" t="s">
        <v>25</v>
      </c>
      <c r="C23" s="1"/>
      <c r="D23" s="1"/>
      <c r="E23" s="1"/>
      <c r="F23" s="1"/>
      <c r="G23" s="1"/>
      <c r="H23" s="33"/>
      <c r="I23" s="33"/>
      <c r="J23" s="33"/>
      <c r="K23" s="33"/>
      <c r="L23" s="33"/>
      <c r="M23" s="36"/>
      <c r="N23" s="33"/>
      <c r="O23" s="37"/>
    </row>
    <row r="24" spans="1:15">
      <c r="A24" s="79"/>
      <c r="B24" s="1" t="s">
        <v>50</v>
      </c>
      <c r="C24" s="1"/>
      <c r="D24" s="1"/>
      <c r="E24" s="1"/>
      <c r="F24" s="1"/>
      <c r="G24" s="1"/>
      <c r="H24" s="33"/>
      <c r="I24" s="33"/>
      <c r="J24" s="33"/>
      <c r="K24" s="33"/>
      <c r="L24" s="33"/>
      <c r="M24" s="36"/>
      <c r="N24" s="33"/>
      <c r="O24" s="37"/>
    </row>
    <row r="25" spans="1:15" ht="15.75">
      <c r="A25" s="79"/>
      <c r="B25" s="1" t="s">
        <v>51</v>
      </c>
      <c r="C25" s="1"/>
      <c r="D25" s="1"/>
      <c r="E25" s="1"/>
      <c r="F25" s="1"/>
      <c r="G25" s="1"/>
      <c r="H25" s="33"/>
      <c r="I25" s="61"/>
      <c r="J25" s="33"/>
      <c r="K25" s="33"/>
      <c r="L25" s="33"/>
      <c r="M25" s="36"/>
      <c r="N25" s="33"/>
      <c r="O25" s="37"/>
    </row>
    <row r="26" spans="1:15">
      <c r="A26" s="79"/>
      <c r="B26" s="17" t="s">
        <v>72</v>
      </c>
      <c r="C26" s="1" t="str">
        <f>B45</f>
        <v>סטודנטים</v>
      </c>
      <c r="D26" s="1"/>
      <c r="E26" s="1"/>
      <c r="F26" s="1"/>
      <c r="G26" s="1"/>
      <c r="H26" s="33"/>
      <c r="I26" s="33"/>
      <c r="J26" s="33"/>
      <c r="K26" s="33"/>
      <c r="L26" s="33"/>
      <c r="M26" s="36"/>
      <c r="N26" s="33"/>
      <c r="O26" s="37"/>
    </row>
    <row r="27" spans="1:15">
      <c r="A27" s="79"/>
      <c r="B27" s="56"/>
      <c r="C27" s="1" t="str">
        <f>B46</f>
        <v>סטודנטיות</v>
      </c>
      <c r="D27" s="56"/>
      <c r="E27" s="56"/>
      <c r="F27" s="56"/>
      <c r="G27" s="56"/>
      <c r="H27" s="33"/>
      <c r="I27" s="33"/>
      <c r="J27" s="33"/>
      <c r="K27" s="33"/>
      <c r="L27" s="33"/>
      <c r="M27" s="36"/>
      <c r="N27" s="33"/>
      <c r="O27" s="37"/>
    </row>
    <row r="28" spans="1:15">
      <c r="A28" s="79"/>
      <c r="B28" s="56" t="s">
        <v>36</v>
      </c>
      <c r="C28" s="56"/>
      <c r="D28" s="56">
        <f>COUNTA(C4:C13)</f>
        <v>10</v>
      </c>
      <c r="E28" s="56"/>
      <c r="F28" s="56"/>
      <c r="G28" s="57"/>
      <c r="H28" s="57" t="s">
        <v>73</v>
      </c>
      <c r="I28" s="34"/>
      <c r="J28" s="34"/>
      <c r="K28" s="34"/>
      <c r="L28" s="34"/>
      <c r="M28" s="34"/>
      <c r="N28" s="34"/>
      <c r="O28" s="35"/>
    </row>
    <row r="29" spans="1:15">
      <c r="A29" s="79"/>
      <c r="B29" s="17" t="s">
        <v>72</v>
      </c>
      <c r="C29" s="56" t="str">
        <f>B45</f>
        <v>סטודנטים</v>
      </c>
      <c r="D29" s="56"/>
      <c r="E29" s="56"/>
      <c r="F29" s="56"/>
      <c r="G29" s="58"/>
      <c r="H29" s="33" t="s">
        <v>74</v>
      </c>
      <c r="I29" s="34"/>
      <c r="J29" s="34"/>
      <c r="K29" s="34"/>
      <c r="L29" s="34"/>
      <c r="M29" s="34"/>
      <c r="N29" s="34"/>
      <c r="O29" s="35"/>
    </row>
    <row r="30" spans="1:15" ht="13.5" thickBot="1">
      <c r="A30" s="80"/>
      <c r="B30" s="2"/>
      <c r="C30" s="2" t="str">
        <f>B46</f>
        <v>סטודנטיות</v>
      </c>
      <c r="D30" s="2"/>
      <c r="E30" s="2"/>
      <c r="F30" s="2"/>
      <c r="G30" s="2"/>
      <c r="H30" s="38" t="s">
        <v>74</v>
      </c>
      <c r="I30" s="43"/>
      <c r="J30" s="43"/>
      <c r="K30" s="43"/>
      <c r="L30" s="43"/>
      <c r="M30" s="43"/>
      <c r="N30" s="43"/>
      <c r="O30" s="44"/>
    </row>
    <row r="31" spans="1:15" ht="14.25" thickTop="1" thickBot="1">
      <c r="A31"/>
      <c r="M31" s="20"/>
      <c r="N31" s="20"/>
    </row>
    <row r="32" spans="1:15" ht="13.5" thickTop="1">
      <c r="A32" s="70" t="s">
        <v>46</v>
      </c>
      <c r="B32" s="30" t="s">
        <v>26</v>
      </c>
      <c r="C32" s="39">
        <v>0.1</v>
      </c>
      <c r="M32" s="20"/>
      <c r="N32" s="20"/>
    </row>
    <row r="33" spans="1:17">
      <c r="A33" s="71"/>
      <c r="B33" s="33" t="s">
        <v>27</v>
      </c>
      <c r="C33" s="40">
        <v>0.1</v>
      </c>
      <c r="M33" s="20"/>
      <c r="N33" s="20"/>
    </row>
    <row r="34" spans="1:17">
      <c r="A34" s="71"/>
      <c r="B34" s="33" t="s">
        <v>28</v>
      </c>
      <c r="C34" s="40">
        <v>0.1</v>
      </c>
      <c r="M34" s="20"/>
      <c r="N34" s="20"/>
    </row>
    <row r="35" spans="1:17">
      <c r="A35" s="71"/>
      <c r="B35" s="33" t="s">
        <v>29</v>
      </c>
      <c r="C35" s="40">
        <v>0.3</v>
      </c>
      <c r="M35" s="20"/>
      <c r="N35" s="20"/>
    </row>
    <row r="36" spans="1:17">
      <c r="A36" s="71"/>
      <c r="B36" s="33" t="s">
        <v>30</v>
      </c>
      <c r="C36" s="40">
        <v>0.4</v>
      </c>
      <c r="M36" s="20"/>
      <c r="N36" s="20"/>
    </row>
    <row r="37" spans="1:17" ht="13.5" thickBot="1">
      <c r="A37" s="72"/>
      <c r="B37" s="38" t="s">
        <v>31</v>
      </c>
      <c r="C37" s="41">
        <f>SUM(C32:C36)</f>
        <v>1</v>
      </c>
      <c r="M37" s="20"/>
      <c r="N37" s="20"/>
    </row>
    <row r="38" spans="1:17" ht="12.75" customHeight="1" thickTop="1" thickBot="1">
      <c r="A38"/>
      <c r="M38" s="20"/>
      <c r="N38" s="20"/>
    </row>
    <row r="39" spans="1:17" ht="13.5" thickTop="1">
      <c r="A39" s="70" t="s">
        <v>47</v>
      </c>
      <c r="B39" s="30"/>
      <c r="C39" s="30" t="s">
        <v>76</v>
      </c>
      <c r="D39" s="42" t="s">
        <v>77</v>
      </c>
      <c r="M39" s="20"/>
    </row>
    <row r="40" spans="1:17">
      <c r="A40" s="71"/>
      <c r="B40" s="33" t="s">
        <v>32</v>
      </c>
      <c r="C40" s="34">
        <v>0</v>
      </c>
      <c r="D40" s="35">
        <v>59.5</v>
      </c>
      <c r="E40" s="22"/>
      <c r="F40" s="22"/>
      <c r="G40" s="22"/>
      <c r="M40" s="20"/>
      <c r="N40" s="23"/>
    </row>
    <row r="41" spans="1:17">
      <c r="A41" s="71"/>
      <c r="B41" s="33" t="s">
        <v>33</v>
      </c>
      <c r="C41" s="34">
        <f>D40</f>
        <v>59.5</v>
      </c>
      <c r="D41" s="35">
        <v>84.5</v>
      </c>
      <c r="E41" s="22"/>
      <c r="F41" s="22"/>
      <c r="G41" s="22"/>
      <c r="M41" s="20"/>
    </row>
    <row r="42" spans="1:17" ht="13.5" thickBot="1">
      <c r="A42" s="72"/>
      <c r="B42" s="38" t="s">
        <v>34</v>
      </c>
      <c r="C42" s="43">
        <f>D41</f>
        <v>84.5</v>
      </c>
      <c r="D42" s="44">
        <v>100</v>
      </c>
      <c r="E42" s="22"/>
      <c r="F42" s="22"/>
      <c r="G42" s="22"/>
      <c r="M42" s="20"/>
    </row>
    <row r="43" spans="1:17" ht="14.25" thickTop="1" thickBot="1">
      <c r="A43"/>
    </row>
    <row r="44" spans="1:17" ht="13.5" customHeight="1" thickTop="1">
      <c r="A44" s="70" t="s">
        <v>56</v>
      </c>
      <c r="B44" s="73" t="s">
        <v>8</v>
      </c>
      <c r="C44" s="74"/>
      <c r="M44" s="20"/>
      <c r="N44" s="20"/>
      <c r="P44" s="21"/>
      <c r="Q44" s="21"/>
    </row>
    <row r="45" spans="1:17">
      <c r="A45" s="71"/>
      <c r="B45" s="45" t="s">
        <v>54</v>
      </c>
      <c r="C45" s="83" t="s">
        <v>17</v>
      </c>
      <c r="M45" s="20"/>
      <c r="N45" s="20"/>
      <c r="P45" s="21"/>
      <c r="Q45" s="21"/>
    </row>
    <row r="46" spans="1:17" ht="13.5" thickBot="1">
      <c r="A46" s="71"/>
      <c r="B46" s="108" t="s">
        <v>55</v>
      </c>
      <c r="C46" s="109" t="s">
        <v>18</v>
      </c>
      <c r="M46" s="20"/>
      <c r="N46" s="20"/>
      <c r="P46" s="21"/>
      <c r="Q46" s="21"/>
    </row>
    <row r="47" spans="1:17">
      <c r="A47" s="71"/>
      <c r="B47" s="87" t="s">
        <v>52</v>
      </c>
      <c r="C47" s="88"/>
      <c r="M47" s="20"/>
      <c r="N47" s="20"/>
      <c r="P47" s="21"/>
      <c r="Q47" s="21"/>
    </row>
    <row r="48" spans="1:17">
      <c r="A48" s="71"/>
      <c r="B48" s="45" t="s">
        <v>53</v>
      </c>
      <c r="C48" s="83"/>
      <c r="M48" s="20"/>
      <c r="N48" s="20"/>
      <c r="P48" s="21"/>
      <c r="Q48" s="21"/>
    </row>
    <row r="49" spans="1:19" ht="13.5" thickBot="1">
      <c r="A49" s="72"/>
      <c r="B49" s="46" t="s">
        <v>0</v>
      </c>
      <c r="C49" s="107"/>
      <c r="M49" s="20"/>
      <c r="N49" s="20"/>
      <c r="P49" s="21"/>
      <c r="Q49" s="21"/>
    </row>
    <row r="50" spans="1:19" ht="14.25" thickTop="1" thickBot="1"/>
    <row r="51" spans="1:19" ht="13.5" customHeight="1" thickTop="1">
      <c r="A51" s="125" t="s">
        <v>66</v>
      </c>
      <c r="B51" s="129" t="s">
        <v>87</v>
      </c>
      <c r="C51" s="82" t="s">
        <v>88</v>
      </c>
      <c r="D51" s="130" t="s">
        <v>79</v>
      </c>
      <c r="E51" s="130" t="s">
        <v>89</v>
      </c>
      <c r="F51" s="112" t="s">
        <v>90</v>
      </c>
    </row>
    <row r="52" spans="1:19">
      <c r="A52" s="126"/>
      <c r="B52" s="131" t="s">
        <v>67</v>
      </c>
      <c r="C52" s="84">
        <v>4000</v>
      </c>
      <c r="D52" s="33"/>
      <c r="E52" s="84"/>
      <c r="F52" s="62"/>
    </row>
    <row r="53" spans="1:19">
      <c r="A53" s="126"/>
      <c r="B53" s="131" t="s">
        <v>68</v>
      </c>
      <c r="C53" s="134">
        <v>2000</v>
      </c>
      <c r="D53" s="33"/>
      <c r="E53" s="84"/>
      <c r="F53" s="62"/>
    </row>
    <row r="54" spans="1:19">
      <c r="A54" s="126"/>
      <c r="B54" s="131" t="s">
        <v>65</v>
      </c>
      <c r="C54" s="110" t="s">
        <v>69</v>
      </c>
      <c r="D54" s="33"/>
      <c r="E54" s="132"/>
      <c r="F54" s="62"/>
    </row>
    <row r="55" spans="1:19" ht="13.5" thickBot="1">
      <c r="A55" s="126"/>
      <c r="B55" s="133" t="s">
        <v>81</v>
      </c>
      <c r="C55" s="111"/>
      <c r="D55" s="38"/>
      <c r="E55" s="38"/>
      <c r="F55" s="63"/>
    </row>
    <row r="56" spans="1:19" ht="14.25" thickTop="1" thickBot="1">
      <c r="A56" s="126"/>
      <c r="B56" s="118" t="s">
        <v>78</v>
      </c>
      <c r="C56" s="89"/>
      <c r="D56" s="89"/>
      <c r="E56" s="89"/>
      <c r="F56" s="89"/>
      <c r="G56" s="89"/>
      <c r="H56" s="90"/>
      <c r="M56" s="20"/>
      <c r="N56" s="20"/>
      <c r="Q56" s="21"/>
      <c r="R56" s="21"/>
    </row>
    <row r="57" spans="1:19" ht="13.5" thickBot="1">
      <c r="A57" s="126"/>
      <c r="B57" s="119"/>
      <c r="C57" s="91" t="s">
        <v>79</v>
      </c>
      <c r="D57" s="92"/>
      <c r="E57" s="93"/>
      <c r="F57" s="91" t="s">
        <v>80</v>
      </c>
      <c r="G57" s="92"/>
      <c r="H57" s="94"/>
      <c r="M57" s="20"/>
      <c r="N57" s="20"/>
      <c r="R57" s="21"/>
      <c r="S57" s="21"/>
    </row>
    <row r="58" spans="1:19" ht="13.5" thickBot="1">
      <c r="A58" s="126"/>
      <c r="B58" s="120" t="s">
        <v>86</v>
      </c>
      <c r="C58" s="95" t="str">
        <f>B48</f>
        <v>שיווק</v>
      </c>
      <c r="D58" s="96" t="str">
        <f>B49</f>
        <v>חשבונאות</v>
      </c>
      <c r="E58" s="99" t="s">
        <v>81</v>
      </c>
      <c r="F58" s="95" t="str">
        <f>B48</f>
        <v>שיווק</v>
      </c>
      <c r="G58" s="96" t="str">
        <f>B49</f>
        <v>חשבונאות</v>
      </c>
      <c r="H58" s="97" t="s">
        <v>81</v>
      </c>
      <c r="M58" s="20"/>
      <c r="N58" s="20"/>
      <c r="R58" s="21"/>
      <c r="S58" s="21"/>
    </row>
    <row r="59" spans="1:19">
      <c r="A59" s="126"/>
      <c r="B59" s="121" t="s">
        <v>37</v>
      </c>
      <c r="C59" s="98"/>
      <c r="D59" s="60"/>
      <c r="E59" s="54"/>
      <c r="F59" s="98"/>
      <c r="G59" s="60"/>
      <c r="H59" s="100"/>
      <c r="M59" s="20"/>
      <c r="N59" s="20"/>
      <c r="R59" s="21"/>
      <c r="S59" s="21"/>
    </row>
    <row r="60" spans="1:19">
      <c r="A60" s="126"/>
      <c r="B60" s="122" t="s">
        <v>54</v>
      </c>
      <c r="C60" s="86"/>
      <c r="D60" s="33"/>
      <c r="E60" s="55"/>
      <c r="F60" s="86"/>
      <c r="G60" s="33"/>
      <c r="H60" s="62"/>
      <c r="M60" s="20"/>
      <c r="N60" s="20"/>
      <c r="R60" s="21"/>
      <c r="S60" s="21"/>
    </row>
    <row r="61" spans="1:19">
      <c r="A61" s="126"/>
      <c r="B61" s="122" t="s">
        <v>55</v>
      </c>
      <c r="C61" s="86"/>
      <c r="D61" s="33"/>
      <c r="E61" s="55"/>
      <c r="F61" s="85"/>
      <c r="G61" s="84"/>
      <c r="H61" s="62"/>
      <c r="M61" s="20"/>
      <c r="N61" s="20"/>
      <c r="R61" s="21"/>
      <c r="S61" s="21"/>
    </row>
    <row r="62" spans="1:19" ht="13.5" thickBot="1">
      <c r="A62" s="126"/>
      <c r="B62" s="123" t="s">
        <v>85</v>
      </c>
      <c r="C62" s="101"/>
      <c r="D62" s="102"/>
      <c r="E62" s="103"/>
      <c r="F62" s="104"/>
      <c r="G62" s="105"/>
      <c r="H62" s="106"/>
      <c r="M62" s="20"/>
      <c r="N62" s="20"/>
      <c r="R62" s="21"/>
      <c r="S62" s="21"/>
    </row>
    <row r="63" spans="1:19">
      <c r="A63" s="126"/>
      <c r="B63" s="121" t="s">
        <v>38</v>
      </c>
      <c r="C63" s="98"/>
      <c r="D63" s="60"/>
      <c r="E63" s="54"/>
      <c r="F63" s="98"/>
      <c r="G63" s="60"/>
      <c r="H63" s="100"/>
      <c r="M63" s="20"/>
      <c r="N63" s="20"/>
      <c r="R63" s="21"/>
      <c r="S63" s="21"/>
    </row>
    <row r="64" spans="1:19">
      <c r="A64" s="126"/>
      <c r="B64" s="122" t="s">
        <v>54</v>
      </c>
      <c r="C64" s="86"/>
      <c r="D64" s="33"/>
      <c r="E64" s="55"/>
      <c r="F64" s="85"/>
      <c r="G64" s="84"/>
      <c r="H64" s="62"/>
      <c r="M64" s="20"/>
      <c r="N64" s="20"/>
      <c r="R64" s="21"/>
      <c r="S64" s="21"/>
    </row>
    <row r="65" spans="1:19">
      <c r="A65" s="126"/>
      <c r="B65" s="122" t="s">
        <v>55</v>
      </c>
      <c r="C65" s="86"/>
      <c r="D65" s="33"/>
      <c r="E65" s="55"/>
      <c r="F65" s="85"/>
      <c r="G65" s="84"/>
      <c r="H65" s="62"/>
      <c r="M65" s="20"/>
      <c r="N65" s="20"/>
      <c r="R65" s="21"/>
      <c r="S65" s="21"/>
    </row>
    <row r="66" spans="1:19" ht="13.5" thickBot="1">
      <c r="A66" s="126"/>
      <c r="B66" s="123" t="s">
        <v>85</v>
      </c>
      <c r="C66" s="101"/>
      <c r="D66" s="102"/>
      <c r="E66" s="103"/>
      <c r="F66" s="104"/>
      <c r="G66" s="105"/>
      <c r="H66" s="106"/>
      <c r="M66" s="20"/>
      <c r="N66" s="20"/>
      <c r="R66" s="21"/>
      <c r="S66" s="21"/>
    </row>
    <row r="67" spans="1:19">
      <c r="A67" s="127"/>
      <c r="B67" s="121" t="s">
        <v>65</v>
      </c>
      <c r="C67" s="86"/>
      <c r="D67" s="33"/>
      <c r="E67" s="55"/>
      <c r="F67" s="86"/>
      <c r="G67" s="33"/>
      <c r="H67" s="37"/>
      <c r="M67" s="20"/>
      <c r="N67" s="20"/>
      <c r="R67" s="21"/>
      <c r="S67" s="21"/>
    </row>
    <row r="68" spans="1:19">
      <c r="A68" s="127"/>
      <c r="B68" s="122" t="s">
        <v>54</v>
      </c>
      <c r="C68" s="86"/>
      <c r="D68" s="33"/>
      <c r="E68" s="55"/>
      <c r="F68" s="85"/>
      <c r="G68" s="84"/>
      <c r="H68" s="62"/>
      <c r="M68" s="20"/>
      <c r="N68" s="20"/>
      <c r="R68" s="21"/>
      <c r="S68" s="21"/>
    </row>
    <row r="69" spans="1:19">
      <c r="A69" s="127"/>
      <c r="B69" s="122" t="s">
        <v>55</v>
      </c>
      <c r="C69" s="86"/>
      <c r="D69" s="33"/>
      <c r="E69" s="55"/>
      <c r="F69" s="85"/>
      <c r="G69" s="84"/>
      <c r="H69" s="62"/>
      <c r="M69" s="20"/>
      <c r="N69" s="20"/>
      <c r="R69" s="21"/>
      <c r="S69" s="21"/>
    </row>
    <row r="70" spans="1:19" ht="13.5" thickBot="1">
      <c r="A70" s="127"/>
      <c r="B70" s="123" t="s">
        <v>85</v>
      </c>
      <c r="C70" s="101"/>
      <c r="D70" s="102"/>
      <c r="E70" s="103"/>
      <c r="F70" s="104"/>
      <c r="G70" s="105"/>
      <c r="H70" s="106"/>
      <c r="M70" s="20"/>
      <c r="N70" s="20"/>
      <c r="R70" s="21"/>
      <c r="S70" s="21"/>
    </row>
    <row r="71" spans="1:19" ht="13.5" thickBot="1">
      <c r="A71" s="128"/>
      <c r="B71" s="124" t="s">
        <v>81</v>
      </c>
      <c r="C71" s="115"/>
      <c r="D71" s="113"/>
      <c r="E71" s="116"/>
      <c r="F71" s="117"/>
      <c r="G71" s="113"/>
      <c r="H71" s="114"/>
      <c r="M71" s="20"/>
      <c r="N71" s="20"/>
      <c r="R71" s="21"/>
      <c r="S71" s="21"/>
    </row>
    <row r="72" spans="1:19" ht="13.5" thickTop="1"/>
  </sheetData>
  <mergeCells count="12">
    <mergeCell ref="A51:A71"/>
    <mergeCell ref="B56:H56"/>
    <mergeCell ref="C57:E57"/>
    <mergeCell ref="F57:H57"/>
    <mergeCell ref="A1:U1"/>
    <mergeCell ref="A3:A13"/>
    <mergeCell ref="A15:A30"/>
    <mergeCell ref="A32:A37"/>
    <mergeCell ref="A39:A42"/>
    <mergeCell ref="A44:A49"/>
    <mergeCell ref="B44:C44"/>
    <mergeCell ref="B47:C47"/>
  </mergeCells>
  <conditionalFormatting sqref="B4:B13">
    <cfRule type="duplicateValues" dxfId="5" priority="8"/>
  </conditionalFormatting>
  <conditionalFormatting sqref="L4:L1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{9822FD27-3D07-4B5A-9958-DC90FA74164A}</x14:id>
        </ext>
      </extLst>
    </cfRule>
  </conditionalFormatting>
  <conditionalFormatting sqref="O4:O13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cellIs" dxfId="4" priority="3" operator="equal">
      <formula>$B$40</formula>
    </cfRule>
    <cfRule type="cellIs" dxfId="3" priority="4" operator="equal">
      <formula>$B$41</formula>
    </cfRule>
    <cfRule type="cellIs" dxfId="2" priority="5" operator="equal">
      <formula>$B$42</formula>
    </cfRule>
  </conditionalFormatting>
  <conditionalFormatting sqref="B4:S13">
    <cfRule type="expression" dxfId="0" priority="2">
      <formula>$P4=$B$40</formula>
    </cfRule>
  </conditionalFormatting>
  <conditionalFormatting sqref="T4:U13">
    <cfRule type="expression" dxfId="1" priority="1">
      <formula>$P4=$B$40</formula>
    </cfRule>
  </conditionalFormatting>
  <dataValidations count="2">
    <dataValidation type="whole" allowBlank="1" showInputMessage="1" showErrorMessage="1" sqref="M4:N13 I4:K13">
      <formula1>$C$40</formula1>
      <formula2>$D$42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E4:E13">
      <formula1>$F$45:$F$49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22FD27-3D07-4B5A-9958-DC90FA7416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L4:L13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2"/>
  <sheetViews>
    <sheetView rightToLeft="1" workbookViewId="0">
      <selection sqref="A1:U1"/>
    </sheetView>
  </sheetViews>
  <sheetFormatPr defaultRowHeight="12.75"/>
  <cols>
    <col min="1" max="1" width="4.7109375" style="20" customWidth="1"/>
    <col min="2" max="2" width="22.28515625" style="20" bestFit="1" customWidth="1"/>
    <col min="3" max="3" width="10.28515625" style="20" bestFit="1" customWidth="1"/>
    <col min="4" max="4" width="10.140625" style="20" bestFit="1" customWidth="1"/>
    <col min="5" max="6" width="8.5703125" style="20" bestFit="1" customWidth="1"/>
    <col min="7" max="7" width="8.85546875" style="20" bestFit="1" customWidth="1"/>
    <col min="8" max="8" width="8.140625" style="20" bestFit="1" customWidth="1"/>
    <col min="9" max="12" width="7" style="20" customWidth="1"/>
    <col min="13" max="13" width="8.7109375" style="21" customWidth="1"/>
    <col min="14" max="14" width="8.140625" style="21" customWidth="1"/>
    <col min="15" max="15" width="6.5703125" style="20" customWidth="1"/>
    <col min="16" max="16384" width="9.140625" style="20"/>
  </cols>
  <sheetData>
    <row r="1" spans="1:21" ht="30.75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 thickBot="1"/>
    <row r="3" spans="1:21" s="19" customFormat="1" ht="39.75" thickTop="1" thickBot="1">
      <c r="A3" s="75" t="s">
        <v>44</v>
      </c>
      <c r="B3" s="47" t="s">
        <v>39</v>
      </c>
      <c r="C3" s="48" t="s">
        <v>1</v>
      </c>
      <c r="D3" s="48" t="s">
        <v>57</v>
      </c>
      <c r="E3" s="48" t="s">
        <v>8</v>
      </c>
      <c r="F3" s="48" t="s">
        <v>49</v>
      </c>
      <c r="G3" s="48" t="s">
        <v>48</v>
      </c>
      <c r="H3" s="48" t="s">
        <v>52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8" t="s">
        <v>14</v>
      </c>
      <c r="O3" s="48" t="s">
        <v>15</v>
      </c>
      <c r="P3" s="48" t="s">
        <v>16</v>
      </c>
      <c r="Q3" s="48" t="s">
        <v>37</v>
      </c>
      <c r="R3" s="48" t="s">
        <v>38</v>
      </c>
      <c r="S3" s="59" t="s">
        <v>65</v>
      </c>
      <c r="T3" s="52" t="s">
        <v>70</v>
      </c>
      <c r="U3" s="53" t="s">
        <v>71</v>
      </c>
    </row>
    <row r="4" spans="1:21">
      <c r="A4" s="76"/>
      <c r="B4" s="26">
        <v>123456789</v>
      </c>
      <c r="C4" s="3" t="s">
        <v>2</v>
      </c>
      <c r="D4" s="16" t="s">
        <v>58</v>
      </c>
      <c r="E4" s="27" t="s">
        <v>17</v>
      </c>
      <c r="F4" s="4">
        <v>9877665</v>
      </c>
      <c r="G4" s="7">
        <v>123</v>
      </c>
      <c r="H4" s="16" t="s">
        <v>53</v>
      </c>
      <c r="I4" s="3">
        <v>89</v>
      </c>
      <c r="J4" s="3">
        <v>86</v>
      </c>
      <c r="K4" s="3">
        <v>99</v>
      </c>
      <c r="L4" s="10">
        <f t="shared" ref="L4:L13" si="0">AVERAGE(I4:K4)</f>
        <v>91.333333333333329</v>
      </c>
      <c r="M4" s="3">
        <v>99</v>
      </c>
      <c r="N4" s="3">
        <v>80</v>
      </c>
      <c r="O4" s="13">
        <f>ROUND(I4*$C$32+J4*$C$33+K4*$C$34+M4*$C$35+N4*$C$36,0)</f>
        <v>89</v>
      </c>
      <c r="P4" s="3" t="str">
        <f>IF(O4&lt;$C$41,$B$40,IF(O4&lt;$C$42,$B$41,$B$42))</f>
        <v>מצטיין</v>
      </c>
      <c r="Q4" s="49">
        <f>IF(AND(E4=$C$46,P4=$B$42),$C$52,0)</f>
        <v>0</v>
      </c>
      <c r="R4" s="49">
        <f>IF(OR(E4=$C$46,P4=$B$42),$C$53,"")</f>
        <v>2000</v>
      </c>
      <c r="S4" s="64" t="str">
        <f>IF(NOT(O4&lt;$C$41),$C$54,"")</f>
        <v>מלגה</v>
      </c>
      <c r="T4" s="65">
        <f>_xlfn.RANK.EQ(O4,$O$4:$O$13,0)</f>
        <v>2</v>
      </c>
      <c r="U4" s="66">
        <f>PERCENTRANK($O$4:$O$13,O4)</f>
        <v>0.88800000000000001</v>
      </c>
    </row>
    <row r="5" spans="1:21">
      <c r="A5" s="76"/>
      <c r="B5" s="24">
        <v>193878400</v>
      </c>
      <c r="C5" s="1" t="s">
        <v>3</v>
      </c>
      <c r="D5" s="17" t="s">
        <v>59</v>
      </c>
      <c r="E5" s="28" t="s">
        <v>18</v>
      </c>
      <c r="F5" s="5">
        <v>9876544</v>
      </c>
      <c r="G5" s="8">
        <v>70000</v>
      </c>
      <c r="H5" s="17" t="s">
        <v>53</v>
      </c>
      <c r="I5" s="1">
        <v>81</v>
      </c>
      <c r="J5" s="1">
        <v>80</v>
      </c>
      <c r="K5" s="1">
        <v>82</v>
      </c>
      <c r="L5" s="11">
        <f t="shared" si="0"/>
        <v>81</v>
      </c>
      <c r="M5" s="1">
        <v>81</v>
      </c>
      <c r="N5" s="1">
        <v>81</v>
      </c>
      <c r="O5" s="14">
        <f t="shared" ref="O5:O13" si="1">ROUND(I5*$C$32+J5*$C$33+K5*$C$34+M5*$C$35+N5*$C$36,0)</f>
        <v>81</v>
      </c>
      <c r="P5" s="1" t="str">
        <f t="shared" ref="P5:P13" si="2">IF(O5&lt;$C$41,$B$40,IF(O5&lt;$C$42,$B$41,$B$42))</f>
        <v>עובר</v>
      </c>
      <c r="Q5" s="50">
        <f>IF(AND(E5=$C$46,P5=$B$42),$C$52,0)</f>
        <v>0</v>
      </c>
      <c r="R5" s="50">
        <f>IF(OR(E5=$C$46,P5=$B$42),$C$53,"")</f>
        <v>2000</v>
      </c>
      <c r="S5" s="50" t="str">
        <f>IF(NOT(O5&lt;$C$41),$C$54,"")</f>
        <v>מלגה</v>
      </c>
      <c r="T5" s="50">
        <f t="shared" ref="T5:T13" si="3">_xlfn.RANK.EQ(O5,$O$4:$O$13,0)</f>
        <v>4</v>
      </c>
      <c r="U5" s="40">
        <f t="shared" ref="U5:U13" si="4">PERCENTRANK($O$4:$O$13,O5)</f>
        <v>0.66600000000000004</v>
      </c>
    </row>
    <row r="6" spans="1:21">
      <c r="A6" s="76"/>
      <c r="B6" s="24">
        <v>658370843</v>
      </c>
      <c r="C6" s="1" t="s">
        <v>4</v>
      </c>
      <c r="D6" s="17" t="s">
        <v>60</v>
      </c>
      <c r="E6" s="28" t="s">
        <v>18</v>
      </c>
      <c r="F6" s="5">
        <v>2118758</v>
      </c>
      <c r="G6" s="8">
        <v>55326</v>
      </c>
      <c r="H6" s="17" t="s">
        <v>53</v>
      </c>
      <c r="I6" s="1">
        <v>67</v>
      </c>
      <c r="J6" s="1">
        <v>99</v>
      </c>
      <c r="K6" s="1">
        <v>69</v>
      </c>
      <c r="L6" s="11">
        <f t="shared" si="0"/>
        <v>78.333333333333329</v>
      </c>
      <c r="M6" s="1">
        <v>90</v>
      </c>
      <c r="N6" s="1">
        <v>85</v>
      </c>
      <c r="O6" s="14">
        <f t="shared" si="1"/>
        <v>85</v>
      </c>
      <c r="P6" s="1" t="str">
        <f t="shared" si="2"/>
        <v>מצטיין</v>
      </c>
      <c r="Q6" s="50">
        <f>IF(AND(E6=$C$46,P6=$B$42),$C$52,0)</f>
        <v>4000</v>
      </c>
      <c r="R6" s="50">
        <f>IF(OR(E6=$C$46,P6=$B$42),$C$53,"")</f>
        <v>2000</v>
      </c>
      <c r="S6" s="50" t="str">
        <f>IF(NOT(O6&lt;$C$41),$C$54,"")</f>
        <v>מלגה</v>
      </c>
      <c r="T6" s="50">
        <f t="shared" si="3"/>
        <v>3</v>
      </c>
      <c r="U6" s="40">
        <f t="shared" si="4"/>
        <v>0.77700000000000002</v>
      </c>
    </row>
    <row r="7" spans="1:21">
      <c r="A7" s="76"/>
      <c r="B7" s="24">
        <v>830998987</v>
      </c>
      <c r="C7" s="1" t="s">
        <v>5</v>
      </c>
      <c r="D7" s="17" t="s">
        <v>61</v>
      </c>
      <c r="E7" s="28" t="s">
        <v>18</v>
      </c>
      <c r="F7" s="5">
        <v>3527439</v>
      </c>
      <c r="G7" s="8">
        <v>56324</v>
      </c>
      <c r="H7" s="17" t="s">
        <v>53</v>
      </c>
      <c r="I7" s="1">
        <v>80</v>
      </c>
      <c r="J7" s="1"/>
      <c r="K7" s="1">
        <v>87</v>
      </c>
      <c r="L7" s="11">
        <f t="shared" si="0"/>
        <v>83.5</v>
      </c>
      <c r="M7" s="1">
        <v>90</v>
      </c>
      <c r="N7" s="1"/>
      <c r="O7" s="14">
        <f t="shared" si="1"/>
        <v>44</v>
      </c>
      <c r="P7" s="1" t="str">
        <f t="shared" si="2"/>
        <v>נכשל</v>
      </c>
      <c r="Q7" s="50">
        <f>IF(AND(E7=$C$46,P7=$B$42),$C$52,0)</f>
        <v>0</v>
      </c>
      <c r="R7" s="50">
        <f>IF(OR(E7=$C$46,P7=$B$42),$C$53,"")</f>
        <v>2000</v>
      </c>
      <c r="S7" s="50" t="str">
        <f>IF(NOT(O7&lt;$C$41),$C$54,"")</f>
        <v/>
      </c>
      <c r="T7" s="50">
        <f t="shared" si="3"/>
        <v>10</v>
      </c>
      <c r="U7" s="40">
        <f t="shared" si="4"/>
        <v>0</v>
      </c>
    </row>
    <row r="8" spans="1:21">
      <c r="A8" s="76"/>
      <c r="B8" s="26">
        <v>123456789</v>
      </c>
      <c r="C8" s="1" t="s">
        <v>40</v>
      </c>
      <c r="D8" s="17" t="s">
        <v>62</v>
      </c>
      <c r="E8" s="28" t="s">
        <v>17</v>
      </c>
      <c r="F8" s="5">
        <v>7563094</v>
      </c>
      <c r="G8" s="8">
        <v>86534</v>
      </c>
      <c r="H8" s="17" t="s">
        <v>53</v>
      </c>
      <c r="I8" s="1">
        <v>91</v>
      </c>
      <c r="J8" s="1">
        <v>79</v>
      </c>
      <c r="K8" s="1">
        <v>85</v>
      </c>
      <c r="L8" s="11">
        <f t="shared" si="0"/>
        <v>85</v>
      </c>
      <c r="M8" s="1">
        <v>100</v>
      </c>
      <c r="N8" s="1">
        <v>50</v>
      </c>
      <c r="O8" s="14">
        <f t="shared" si="1"/>
        <v>76</v>
      </c>
      <c r="P8" s="1" t="str">
        <f t="shared" si="2"/>
        <v>עובר</v>
      </c>
      <c r="Q8" s="50">
        <f>IF(AND(E8=$C$46,P8=$B$42),$C$52,0)</f>
        <v>0</v>
      </c>
      <c r="R8" s="50" t="str">
        <f>IF(OR(E8=$C$46,P8=$B$42),$C$53,"")</f>
        <v/>
      </c>
      <c r="S8" s="50" t="str">
        <f>IF(NOT(O8&lt;$C$41),$C$54,"")</f>
        <v>מלגה</v>
      </c>
      <c r="T8" s="50">
        <f t="shared" si="3"/>
        <v>6</v>
      </c>
      <c r="U8" s="40">
        <f t="shared" si="4"/>
        <v>0.44400000000000001</v>
      </c>
    </row>
    <row r="9" spans="1:21">
      <c r="A9" s="76"/>
      <c r="B9" s="24">
        <v>298754355</v>
      </c>
      <c r="C9" s="1" t="s">
        <v>6</v>
      </c>
      <c r="D9" s="17" t="s">
        <v>60</v>
      </c>
      <c r="E9" s="28" t="s">
        <v>17</v>
      </c>
      <c r="F9" s="5">
        <v>8763456</v>
      </c>
      <c r="G9" s="8">
        <v>83934</v>
      </c>
      <c r="H9" s="17" t="s">
        <v>0</v>
      </c>
      <c r="I9" s="1">
        <v>88</v>
      </c>
      <c r="J9" s="1">
        <v>90</v>
      </c>
      <c r="K9" s="1">
        <v>74</v>
      </c>
      <c r="L9" s="11">
        <f t="shared" si="0"/>
        <v>84</v>
      </c>
      <c r="M9" s="1">
        <v>55</v>
      </c>
      <c r="N9" s="1">
        <v>45</v>
      </c>
      <c r="O9" s="14">
        <f t="shared" si="1"/>
        <v>60</v>
      </c>
      <c r="P9" s="1" t="str">
        <f t="shared" si="2"/>
        <v>עובר</v>
      </c>
      <c r="Q9" s="50">
        <f>IF(AND(E9=$C$46,P9=$B$42),$C$52,0)</f>
        <v>0</v>
      </c>
      <c r="R9" s="50" t="str">
        <f>IF(OR(E9=$C$46,P9=$B$42),$C$53,"")</f>
        <v/>
      </c>
      <c r="S9" s="50" t="str">
        <f>IF(NOT(O9&lt;$C$41),$C$54,"")</f>
        <v>מלגה</v>
      </c>
      <c r="T9" s="50">
        <f t="shared" si="3"/>
        <v>8</v>
      </c>
      <c r="U9" s="40">
        <f t="shared" si="4"/>
        <v>0.111</v>
      </c>
    </row>
    <row r="10" spans="1:21">
      <c r="A10" s="76"/>
      <c r="B10" s="24">
        <v>983687692</v>
      </c>
      <c r="C10" s="1" t="s">
        <v>7</v>
      </c>
      <c r="D10" s="17" t="s">
        <v>63</v>
      </c>
      <c r="E10" s="28" t="s">
        <v>18</v>
      </c>
      <c r="F10" s="5">
        <v>6347234</v>
      </c>
      <c r="G10" s="8">
        <v>55235</v>
      </c>
      <c r="H10" s="17" t="s">
        <v>0</v>
      </c>
      <c r="I10" s="1">
        <v>45</v>
      </c>
      <c r="J10" s="1">
        <v>60</v>
      </c>
      <c r="K10" s="1"/>
      <c r="L10" s="11">
        <f t="shared" si="0"/>
        <v>52.5</v>
      </c>
      <c r="M10" s="1">
        <v>99</v>
      </c>
      <c r="N10" s="1">
        <v>94</v>
      </c>
      <c r="O10" s="14">
        <f t="shared" si="1"/>
        <v>78</v>
      </c>
      <c r="P10" s="1" t="str">
        <f t="shared" si="2"/>
        <v>עובר</v>
      </c>
      <c r="Q10" s="50">
        <f>IF(AND(E10=$C$46,P10=$B$42),$C$52,0)</f>
        <v>0</v>
      </c>
      <c r="R10" s="50">
        <f>IF(OR(E10=$C$46,P10=$B$42),$C$53,"")</f>
        <v>2000</v>
      </c>
      <c r="S10" s="50" t="str">
        <f>IF(NOT(O10&lt;$C$41),$C$54,"")</f>
        <v>מלגה</v>
      </c>
      <c r="T10" s="50">
        <f t="shared" si="3"/>
        <v>5</v>
      </c>
      <c r="U10" s="40">
        <f t="shared" si="4"/>
        <v>0.55500000000000005</v>
      </c>
    </row>
    <row r="11" spans="1:21">
      <c r="A11" s="76"/>
      <c r="B11" s="24">
        <v>947465892</v>
      </c>
      <c r="C11" s="1" t="s">
        <v>19</v>
      </c>
      <c r="D11" s="17" t="s">
        <v>59</v>
      </c>
      <c r="E11" s="28" t="s">
        <v>17</v>
      </c>
      <c r="F11" s="5">
        <v>3434324</v>
      </c>
      <c r="G11" s="8">
        <v>41466</v>
      </c>
      <c r="H11" s="17" t="s">
        <v>0</v>
      </c>
      <c r="I11" s="1"/>
      <c r="J11" s="1">
        <v>79</v>
      </c>
      <c r="K11" s="1">
        <v>99</v>
      </c>
      <c r="L11" s="11">
        <f t="shared" si="0"/>
        <v>89</v>
      </c>
      <c r="M11" s="1">
        <v>86</v>
      </c>
      <c r="N11" s="1">
        <v>65</v>
      </c>
      <c r="O11" s="14">
        <f t="shared" si="1"/>
        <v>70</v>
      </c>
      <c r="P11" s="1" t="str">
        <f t="shared" si="2"/>
        <v>עובר</v>
      </c>
      <c r="Q11" s="50">
        <f>IF(AND(E11=$C$46,P11=$B$42),$C$52,0)</f>
        <v>0</v>
      </c>
      <c r="R11" s="50" t="str">
        <f>IF(OR(E11=$C$46,P11=$B$42),$C$53,"")</f>
        <v/>
      </c>
      <c r="S11" s="50" t="str">
        <f>IF(NOT(O11&lt;$C$41),$C$54,"")</f>
        <v>מלגה</v>
      </c>
      <c r="T11" s="50">
        <f t="shared" si="3"/>
        <v>7</v>
      </c>
      <c r="U11" s="40">
        <f t="shared" si="4"/>
        <v>0.33300000000000002</v>
      </c>
    </row>
    <row r="12" spans="1:21">
      <c r="A12" s="76"/>
      <c r="B12" s="24">
        <v>388923057</v>
      </c>
      <c r="C12" s="1" t="s">
        <v>5</v>
      </c>
      <c r="D12" s="17" t="s">
        <v>64</v>
      </c>
      <c r="E12" s="28" t="s">
        <v>18</v>
      </c>
      <c r="F12" s="5">
        <v>8743644</v>
      </c>
      <c r="G12" s="8">
        <v>44141</v>
      </c>
      <c r="H12" s="17" t="s">
        <v>0</v>
      </c>
      <c r="I12" s="1">
        <v>60</v>
      </c>
      <c r="J12" s="1">
        <v>100</v>
      </c>
      <c r="K12" s="1">
        <v>80</v>
      </c>
      <c r="L12" s="11">
        <f t="shared" si="0"/>
        <v>80</v>
      </c>
      <c r="M12" s="1">
        <v>40</v>
      </c>
      <c r="N12" s="1">
        <v>61</v>
      </c>
      <c r="O12" s="14">
        <f t="shared" si="1"/>
        <v>60</v>
      </c>
      <c r="P12" s="1" t="str">
        <f t="shared" si="2"/>
        <v>עובר</v>
      </c>
      <c r="Q12" s="50">
        <f>IF(AND(E12=$C$46,P12=$B$42),$C$52,0)</f>
        <v>0</v>
      </c>
      <c r="R12" s="50">
        <f>IF(OR(E12=$C$46,P12=$B$42),$C$53,"")</f>
        <v>2000</v>
      </c>
      <c r="S12" s="50" t="str">
        <f>IF(NOT(O12&lt;$C$41),$C$54,"")</f>
        <v>מלגה</v>
      </c>
      <c r="T12" s="50">
        <f t="shared" si="3"/>
        <v>8</v>
      </c>
      <c r="U12" s="40">
        <f t="shared" si="4"/>
        <v>0.111</v>
      </c>
    </row>
    <row r="13" spans="1:21" ht="13.5" thickBot="1">
      <c r="A13" s="77"/>
      <c r="B13" s="25">
        <v>244576280</v>
      </c>
      <c r="C13" s="2" t="s">
        <v>19</v>
      </c>
      <c r="D13" s="18" t="s">
        <v>59</v>
      </c>
      <c r="E13" s="29" t="s">
        <v>18</v>
      </c>
      <c r="F13" s="6">
        <v>3252524</v>
      </c>
      <c r="G13" s="9">
        <v>44451</v>
      </c>
      <c r="H13" s="18" t="s">
        <v>0</v>
      </c>
      <c r="I13" s="2">
        <v>94</v>
      </c>
      <c r="J13" s="2">
        <v>100</v>
      </c>
      <c r="K13" s="2">
        <v>93</v>
      </c>
      <c r="L13" s="12">
        <f t="shared" si="0"/>
        <v>95.666666666666671</v>
      </c>
      <c r="M13" s="2">
        <v>95</v>
      </c>
      <c r="N13" s="2">
        <v>100</v>
      </c>
      <c r="O13" s="15">
        <f t="shared" si="1"/>
        <v>97</v>
      </c>
      <c r="P13" s="2" t="str">
        <f t="shared" si="2"/>
        <v>מצטיין</v>
      </c>
      <c r="Q13" s="51">
        <f>IF(AND(E13=$C$46,P13=$B$42),$C$52,0)</f>
        <v>4000</v>
      </c>
      <c r="R13" s="51">
        <f>IF(OR(E13=$C$46,P13=$B$42),$C$53,"")</f>
        <v>2000</v>
      </c>
      <c r="S13" s="51" t="str">
        <f>IF(NOT(O13&lt;$C$41),$C$54,"")</f>
        <v>מלגה</v>
      </c>
      <c r="T13" s="51">
        <f t="shared" si="3"/>
        <v>1</v>
      </c>
      <c r="U13" s="67">
        <f t="shared" si="4"/>
        <v>1</v>
      </c>
    </row>
    <row r="14" spans="1:21" ht="14.25" thickTop="1" thickBot="1">
      <c r="A14"/>
      <c r="M14" s="20"/>
      <c r="N14" s="20"/>
    </row>
    <row r="15" spans="1:21" ht="13.5" thickTop="1">
      <c r="A15" s="78" t="s">
        <v>45</v>
      </c>
      <c r="B15" s="30" t="s">
        <v>20</v>
      </c>
      <c r="C15" s="30"/>
      <c r="D15" s="30"/>
      <c r="E15" s="30"/>
      <c r="F15" s="30"/>
      <c r="G15" s="30"/>
      <c r="H15" s="30"/>
      <c r="I15" s="31">
        <f>AVERAGE(I4:I13)</f>
        <v>77.222222222222229</v>
      </c>
      <c r="J15" s="31">
        <f t="shared" ref="J15:O15" si="5">AVERAGE(J4:J13)</f>
        <v>85.888888888888886</v>
      </c>
      <c r="K15" s="31">
        <f t="shared" si="5"/>
        <v>85.333333333333329</v>
      </c>
      <c r="L15" s="31">
        <f t="shared" si="5"/>
        <v>82.033333333333331</v>
      </c>
      <c r="M15" s="31">
        <f t="shared" si="5"/>
        <v>83.5</v>
      </c>
      <c r="N15" s="31">
        <f t="shared" si="5"/>
        <v>73.444444444444443</v>
      </c>
      <c r="O15" s="32">
        <f t="shared" si="5"/>
        <v>74</v>
      </c>
    </row>
    <row r="16" spans="1:21">
      <c r="A16" s="79"/>
      <c r="B16" s="33" t="s">
        <v>21</v>
      </c>
      <c r="C16" s="33"/>
      <c r="D16" s="33"/>
      <c r="E16" s="33"/>
      <c r="F16" s="33"/>
      <c r="G16" s="33"/>
      <c r="H16" s="33"/>
      <c r="I16" s="34">
        <f>MEDIAN(I4:I13)</f>
        <v>81</v>
      </c>
      <c r="J16" s="34">
        <f t="shared" ref="J16:O16" si="6">MEDIAN(J4:J13)</f>
        <v>86</v>
      </c>
      <c r="K16" s="34">
        <f t="shared" si="6"/>
        <v>85</v>
      </c>
      <c r="L16" s="34">
        <f t="shared" si="6"/>
        <v>83.75</v>
      </c>
      <c r="M16" s="34">
        <f t="shared" si="6"/>
        <v>90</v>
      </c>
      <c r="N16" s="34">
        <f t="shared" si="6"/>
        <v>80</v>
      </c>
      <c r="O16" s="35">
        <f t="shared" si="6"/>
        <v>77</v>
      </c>
    </row>
    <row r="17" spans="1:15">
      <c r="A17" s="79"/>
      <c r="B17" s="33" t="s">
        <v>22</v>
      </c>
      <c r="C17" s="33"/>
      <c r="D17" s="33"/>
      <c r="E17" s="33"/>
      <c r="F17" s="33"/>
      <c r="G17" s="33"/>
      <c r="H17" s="33"/>
      <c r="I17" s="34" t="e">
        <f>_xlfn.MODE.SNGL(I4:I13)</f>
        <v>#N/A</v>
      </c>
      <c r="J17" s="34">
        <f t="shared" ref="J17:O17" si="7">_xlfn.MODE.SNGL(J4:J13)</f>
        <v>79</v>
      </c>
      <c r="K17" s="34">
        <f t="shared" si="7"/>
        <v>99</v>
      </c>
      <c r="L17" s="34" t="e">
        <f t="shared" si="7"/>
        <v>#N/A</v>
      </c>
      <c r="M17" s="34">
        <f t="shared" si="7"/>
        <v>99</v>
      </c>
      <c r="N17" s="34" t="e">
        <f t="shared" si="7"/>
        <v>#N/A</v>
      </c>
      <c r="O17" s="35">
        <f t="shared" si="7"/>
        <v>60</v>
      </c>
    </row>
    <row r="18" spans="1:15">
      <c r="A18" s="79"/>
      <c r="B18" s="33" t="s">
        <v>23</v>
      </c>
      <c r="C18" s="33"/>
      <c r="D18" s="33"/>
      <c r="E18" s="33"/>
      <c r="F18" s="33"/>
      <c r="G18" s="33"/>
      <c r="H18" s="33"/>
      <c r="I18" s="34">
        <f>MAX(I4:I13)</f>
        <v>94</v>
      </c>
      <c r="J18" s="34">
        <f t="shared" ref="J18:O18" si="8">MAX(J4:J13)</f>
        <v>100</v>
      </c>
      <c r="K18" s="34">
        <f t="shared" si="8"/>
        <v>99</v>
      </c>
      <c r="L18" s="34">
        <f t="shared" si="8"/>
        <v>95.666666666666671</v>
      </c>
      <c r="M18" s="34">
        <f t="shared" si="8"/>
        <v>100</v>
      </c>
      <c r="N18" s="34">
        <f t="shared" si="8"/>
        <v>100</v>
      </c>
      <c r="O18" s="35">
        <f t="shared" si="8"/>
        <v>97</v>
      </c>
    </row>
    <row r="19" spans="1:15">
      <c r="A19" s="79"/>
      <c r="B19" s="33" t="s">
        <v>24</v>
      </c>
      <c r="C19" s="33"/>
      <c r="D19" s="33"/>
      <c r="E19" s="33"/>
      <c r="F19" s="33"/>
      <c r="G19" s="33"/>
      <c r="H19" s="33"/>
      <c r="I19" s="34">
        <f>MIN(I4:I13)</f>
        <v>45</v>
      </c>
      <c r="J19" s="34">
        <f t="shared" ref="J19:O19" si="9">MIN(J4:J13)</f>
        <v>60</v>
      </c>
      <c r="K19" s="34">
        <f t="shared" si="9"/>
        <v>69</v>
      </c>
      <c r="L19" s="34">
        <f t="shared" si="9"/>
        <v>52.5</v>
      </c>
      <c r="M19" s="34">
        <f t="shared" si="9"/>
        <v>40</v>
      </c>
      <c r="N19" s="34">
        <f t="shared" si="9"/>
        <v>45</v>
      </c>
      <c r="O19" s="35">
        <f t="shared" si="9"/>
        <v>44</v>
      </c>
    </row>
    <row r="20" spans="1:15">
      <c r="A20" s="79"/>
      <c r="B20" s="33" t="s">
        <v>41</v>
      </c>
      <c r="C20" s="33"/>
      <c r="D20" s="33"/>
      <c r="E20" s="33"/>
      <c r="F20" s="33"/>
      <c r="G20" s="33"/>
      <c r="H20" s="33"/>
      <c r="I20" s="34">
        <f>_xlfn.STDEV.P(I4:I13)</f>
        <v>15.59043708159145</v>
      </c>
      <c r="J20" s="34">
        <f t="shared" ref="J20:O20" si="10">_xlfn.STDEV.P(J4:J13)</f>
        <v>12.4136523808305</v>
      </c>
      <c r="K20" s="34">
        <f t="shared" si="10"/>
        <v>9.8319208025017506</v>
      </c>
      <c r="L20" s="34">
        <f t="shared" si="10"/>
        <v>11.076200712438522</v>
      </c>
      <c r="M20" s="34">
        <f t="shared" si="10"/>
        <v>19.200260414900626</v>
      </c>
      <c r="N20" s="34">
        <f t="shared" si="10"/>
        <v>18.093038017186554</v>
      </c>
      <c r="O20" s="35">
        <f t="shared" si="10"/>
        <v>15.006665185843255</v>
      </c>
    </row>
    <row r="21" spans="1:15">
      <c r="A21" s="79"/>
      <c r="B21" s="33" t="s">
        <v>42</v>
      </c>
      <c r="C21" s="33"/>
      <c r="D21" s="33"/>
      <c r="E21" s="33"/>
      <c r="F21" s="33"/>
      <c r="G21" s="33"/>
      <c r="H21" s="33"/>
      <c r="I21" s="34">
        <f>_xlfn.VAR.P(I4:I13)</f>
        <v>243.06172839506172</v>
      </c>
      <c r="J21" s="34">
        <f t="shared" ref="J21:O21" si="11">_xlfn.VAR.P(J4:J13)</f>
        <v>154.09876543209876</v>
      </c>
      <c r="K21" s="34">
        <f t="shared" si="11"/>
        <v>96.666666666666671</v>
      </c>
      <c r="L21" s="34">
        <f t="shared" si="11"/>
        <v>122.68222222222364</v>
      </c>
      <c r="M21" s="34">
        <f t="shared" si="11"/>
        <v>368.65</v>
      </c>
      <c r="N21" s="34">
        <f t="shared" si="11"/>
        <v>327.35802469135803</v>
      </c>
      <c r="O21" s="35">
        <f t="shared" si="11"/>
        <v>225.2</v>
      </c>
    </row>
    <row r="22" spans="1:15">
      <c r="A22" s="79"/>
      <c r="B22" s="33" t="s">
        <v>35</v>
      </c>
      <c r="C22" s="33"/>
      <c r="D22" s="33"/>
      <c r="E22" s="33"/>
      <c r="F22" s="33"/>
      <c r="G22" s="33"/>
      <c r="H22" s="33"/>
      <c r="I22" s="34">
        <f>COUNT(I4:I13)</f>
        <v>9</v>
      </c>
      <c r="J22" s="34">
        <f t="shared" ref="J22:O22" si="12">COUNT(J4:J13)</f>
        <v>9</v>
      </c>
      <c r="K22" s="34">
        <f t="shared" si="12"/>
        <v>9</v>
      </c>
      <c r="L22" s="34">
        <f t="shared" si="12"/>
        <v>10</v>
      </c>
      <c r="M22" s="34">
        <f t="shared" si="12"/>
        <v>10</v>
      </c>
      <c r="N22" s="34">
        <f t="shared" si="12"/>
        <v>9</v>
      </c>
      <c r="O22" s="35">
        <f t="shared" si="12"/>
        <v>10</v>
      </c>
    </row>
    <row r="23" spans="1:15">
      <c r="A23" s="79"/>
      <c r="B23" s="1" t="s">
        <v>25</v>
      </c>
      <c r="C23" s="1"/>
      <c r="D23" s="1"/>
      <c r="E23" s="1"/>
      <c r="F23" s="1"/>
      <c r="G23" s="1"/>
      <c r="H23" s="33"/>
      <c r="I23" s="33">
        <f xml:space="preserve"> COUNTIF(I4:I13,"&lt;59.5")</f>
        <v>1</v>
      </c>
      <c r="J23" s="33"/>
      <c r="K23" s="33"/>
      <c r="L23" s="33"/>
      <c r="M23" s="36"/>
      <c r="N23" s="33"/>
      <c r="O23" s="37"/>
    </row>
    <row r="24" spans="1:15">
      <c r="A24" s="79"/>
      <c r="B24" s="1" t="s">
        <v>50</v>
      </c>
      <c r="C24" s="1"/>
      <c r="D24" s="1"/>
      <c r="E24" s="1"/>
      <c r="F24" s="1"/>
      <c r="G24" s="1"/>
      <c r="H24" s="33"/>
      <c r="I24" s="33">
        <f>COUNTIFS(I4:I13,"&gt;=59.5",I4:I13,"&lt;84.5")</f>
        <v>4</v>
      </c>
      <c r="J24" s="33"/>
      <c r="K24" s="33"/>
      <c r="L24" s="33"/>
      <c r="M24" s="36"/>
      <c r="N24" s="33"/>
      <c r="O24" s="37"/>
    </row>
    <row r="25" spans="1:15" ht="15.75">
      <c r="A25" s="79"/>
      <c r="B25" s="1" t="s">
        <v>51</v>
      </c>
      <c r="C25" s="1"/>
      <c r="D25" s="1"/>
      <c r="E25" s="1"/>
      <c r="F25" s="1"/>
      <c r="G25" s="1"/>
      <c r="H25" s="33"/>
      <c r="I25" s="61">
        <f>COUNTIF(I4:I13,"&gt;=84.5")</f>
        <v>4</v>
      </c>
      <c r="J25" s="33"/>
      <c r="K25" s="33"/>
      <c r="L25" s="33"/>
      <c r="M25" s="36"/>
      <c r="N25" s="33"/>
      <c r="O25" s="37"/>
    </row>
    <row r="26" spans="1:15">
      <c r="A26" s="79"/>
      <c r="B26" s="17" t="s">
        <v>72</v>
      </c>
      <c r="C26" s="1" t="str">
        <f>B45</f>
        <v>סטודנטים</v>
      </c>
      <c r="D26" s="1"/>
      <c r="E26" s="1"/>
      <c r="F26" s="1"/>
      <c r="G26" s="1"/>
      <c r="H26" s="33"/>
      <c r="I26" s="33">
        <f>COUNTIFS(E4:E13,"ז",I4:I13,"&gt;=84.5")</f>
        <v>3</v>
      </c>
      <c r="J26" s="33"/>
      <c r="K26" s="33"/>
      <c r="L26" s="33"/>
      <c r="M26" s="36"/>
      <c r="N26" s="33"/>
      <c r="O26" s="37"/>
    </row>
    <row r="27" spans="1:15">
      <c r="A27" s="79"/>
      <c r="B27" s="56"/>
      <c r="C27" s="1" t="str">
        <f>B46</f>
        <v>סטודנטיות</v>
      </c>
      <c r="D27" s="56"/>
      <c r="E27" s="56"/>
      <c r="F27" s="56"/>
      <c r="G27" s="56"/>
      <c r="H27" s="33"/>
      <c r="I27" s="33"/>
      <c r="J27" s="33"/>
      <c r="K27" s="33"/>
      <c r="L27" s="33"/>
      <c r="M27" s="36"/>
      <c r="N27" s="33"/>
      <c r="O27" s="37"/>
    </row>
    <row r="28" spans="1:15">
      <c r="A28" s="79"/>
      <c r="B28" s="56" t="s">
        <v>36</v>
      </c>
      <c r="C28" s="56"/>
      <c r="D28" s="56">
        <f>COUNTA(C4:C13)</f>
        <v>10</v>
      </c>
      <c r="E28" s="56"/>
      <c r="F28" s="56"/>
      <c r="G28" s="57"/>
      <c r="H28" s="57" t="s">
        <v>73</v>
      </c>
      <c r="I28" s="34">
        <f>AVERAGEIFS(I4:I13,I4:I13,"&gt;=59.5",I4:I13,"&lt;84.5")</f>
        <v>72</v>
      </c>
      <c r="J28" s="34"/>
      <c r="K28" s="34"/>
      <c r="L28" s="34"/>
      <c r="M28" s="34"/>
      <c r="N28" s="34"/>
      <c r="O28" s="35"/>
    </row>
    <row r="29" spans="1:15">
      <c r="A29" s="79"/>
      <c r="B29" s="17" t="s">
        <v>72</v>
      </c>
      <c r="C29" s="56" t="str">
        <f>B45</f>
        <v>סטודנטים</v>
      </c>
      <c r="D29" s="56">
        <f xml:space="preserve"> COUNTIF(E4:E13,"ז")</f>
        <v>4</v>
      </c>
      <c r="E29" s="56"/>
      <c r="F29" s="56"/>
      <c r="G29" s="58"/>
      <c r="H29" s="33" t="s">
        <v>74</v>
      </c>
      <c r="I29" s="34">
        <f>AVERAGEIF(E4:E13,"ז",I4:I13)</f>
        <v>89.333333333333329</v>
      </c>
      <c r="J29" s="34"/>
      <c r="K29" s="34"/>
      <c r="L29" s="34"/>
      <c r="M29" s="34"/>
      <c r="N29" s="34"/>
      <c r="O29" s="35"/>
    </row>
    <row r="30" spans="1:15" ht="13.5" thickBot="1">
      <c r="A30" s="80"/>
      <c r="B30" s="2"/>
      <c r="C30" s="2" t="str">
        <f>B46</f>
        <v>סטודנטיות</v>
      </c>
      <c r="D30" s="2"/>
      <c r="E30" s="2"/>
      <c r="F30" s="2"/>
      <c r="G30" s="2"/>
      <c r="H30" s="38" t="s">
        <v>74</v>
      </c>
      <c r="I30" s="43"/>
      <c r="J30" s="43"/>
      <c r="K30" s="43"/>
      <c r="L30" s="43"/>
      <c r="M30" s="43"/>
      <c r="N30" s="43"/>
      <c r="O30" s="44"/>
    </row>
    <row r="31" spans="1:15" ht="14.25" thickTop="1" thickBot="1">
      <c r="A31"/>
      <c r="M31" s="20"/>
      <c r="N31" s="20"/>
    </row>
    <row r="32" spans="1:15" ht="13.5" thickTop="1">
      <c r="A32" s="70" t="s">
        <v>46</v>
      </c>
      <c r="B32" s="30" t="s">
        <v>26</v>
      </c>
      <c r="C32" s="39">
        <v>0.1</v>
      </c>
      <c r="M32" s="20"/>
      <c r="N32" s="20"/>
    </row>
    <row r="33" spans="1:17">
      <c r="A33" s="71"/>
      <c r="B33" s="33" t="s">
        <v>27</v>
      </c>
      <c r="C33" s="40">
        <v>0.1</v>
      </c>
      <c r="M33" s="20"/>
      <c r="N33" s="20"/>
    </row>
    <row r="34" spans="1:17">
      <c r="A34" s="71"/>
      <c r="B34" s="33" t="s">
        <v>28</v>
      </c>
      <c r="C34" s="40">
        <v>0.1</v>
      </c>
      <c r="M34" s="20"/>
      <c r="N34" s="20"/>
    </row>
    <row r="35" spans="1:17">
      <c r="A35" s="71"/>
      <c r="B35" s="33" t="s">
        <v>29</v>
      </c>
      <c r="C35" s="40">
        <v>0.3</v>
      </c>
      <c r="M35" s="20"/>
      <c r="N35" s="20"/>
    </row>
    <row r="36" spans="1:17">
      <c r="A36" s="71"/>
      <c r="B36" s="33" t="s">
        <v>30</v>
      </c>
      <c r="C36" s="40">
        <v>0.4</v>
      </c>
      <c r="M36" s="20"/>
      <c r="N36" s="20"/>
    </row>
    <row r="37" spans="1:17" ht="13.5" thickBot="1">
      <c r="A37" s="72"/>
      <c r="B37" s="38" t="s">
        <v>31</v>
      </c>
      <c r="C37" s="41">
        <f>SUM(C32:C36)</f>
        <v>1</v>
      </c>
      <c r="M37" s="20"/>
      <c r="N37" s="20"/>
    </row>
    <row r="38" spans="1:17" ht="12.75" customHeight="1" thickTop="1" thickBot="1">
      <c r="A38"/>
      <c r="M38" s="20"/>
      <c r="N38" s="20"/>
    </row>
    <row r="39" spans="1:17" ht="13.5" thickTop="1">
      <c r="A39" s="70" t="s">
        <v>47</v>
      </c>
      <c r="B39" s="30"/>
      <c r="C39" s="30" t="s">
        <v>76</v>
      </c>
      <c r="D39" s="42" t="s">
        <v>77</v>
      </c>
      <c r="M39" s="20"/>
    </row>
    <row r="40" spans="1:17">
      <c r="A40" s="71"/>
      <c r="B40" s="33" t="s">
        <v>32</v>
      </c>
      <c r="C40" s="34">
        <v>0</v>
      </c>
      <c r="D40" s="35">
        <v>59.5</v>
      </c>
      <c r="E40" s="22"/>
      <c r="F40" s="22"/>
      <c r="G40" s="22"/>
      <c r="M40" s="20"/>
      <c r="N40" s="23"/>
    </row>
    <row r="41" spans="1:17">
      <c r="A41" s="71"/>
      <c r="B41" s="33" t="s">
        <v>33</v>
      </c>
      <c r="C41" s="34">
        <f>D40</f>
        <v>59.5</v>
      </c>
      <c r="D41" s="35">
        <v>84.5</v>
      </c>
      <c r="E41" s="22"/>
      <c r="F41" s="22"/>
      <c r="G41" s="22"/>
      <c r="M41" s="20"/>
    </row>
    <row r="42" spans="1:17" ht="13.5" thickBot="1">
      <c r="A42" s="72"/>
      <c r="B42" s="38" t="s">
        <v>34</v>
      </c>
      <c r="C42" s="43">
        <f>D41</f>
        <v>84.5</v>
      </c>
      <c r="D42" s="44">
        <v>100</v>
      </c>
      <c r="E42" s="22"/>
      <c r="F42" s="22"/>
      <c r="G42" s="22"/>
      <c r="M42" s="20"/>
    </row>
    <row r="43" spans="1:17" ht="14.25" thickTop="1" thickBot="1">
      <c r="A43"/>
    </row>
    <row r="44" spans="1:17" ht="13.5" customHeight="1" thickTop="1">
      <c r="A44" s="70" t="s">
        <v>56</v>
      </c>
      <c r="B44" s="73" t="s">
        <v>8</v>
      </c>
      <c r="C44" s="74"/>
      <c r="M44" s="20"/>
      <c r="N44" s="20"/>
      <c r="P44" s="21"/>
      <c r="Q44" s="21"/>
    </row>
    <row r="45" spans="1:17">
      <c r="A45" s="71"/>
      <c r="B45" s="45" t="s">
        <v>54</v>
      </c>
      <c r="C45" s="83" t="s">
        <v>17</v>
      </c>
      <c r="M45" s="20"/>
      <c r="N45" s="20"/>
      <c r="P45" s="21"/>
      <c r="Q45" s="21"/>
    </row>
    <row r="46" spans="1:17" ht="13.5" thickBot="1">
      <c r="A46" s="71"/>
      <c r="B46" s="108" t="s">
        <v>55</v>
      </c>
      <c r="C46" s="109" t="s">
        <v>18</v>
      </c>
      <c r="M46" s="20"/>
      <c r="N46" s="20"/>
      <c r="P46" s="21"/>
      <c r="Q46" s="21"/>
    </row>
    <row r="47" spans="1:17">
      <c r="A47" s="71"/>
      <c r="B47" s="87" t="s">
        <v>52</v>
      </c>
      <c r="C47" s="88"/>
      <c r="M47" s="20"/>
      <c r="N47" s="20"/>
      <c r="P47" s="21"/>
      <c r="Q47" s="21"/>
    </row>
    <row r="48" spans="1:17">
      <c r="A48" s="71"/>
      <c r="B48" s="45" t="s">
        <v>53</v>
      </c>
      <c r="C48" s="83"/>
      <c r="M48" s="20"/>
      <c r="N48" s="20"/>
      <c r="P48" s="21"/>
      <c r="Q48" s="21"/>
    </row>
    <row r="49" spans="1:19" ht="13.5" thickBot="1">
      <c r="A49" s="72"/>
      <c r="B49" s="46" t="s">
        <v>0</v>
      </c>
      <c r="C49" s="107"/>
      <c r="M49" s="20"/>
      <c r="N49" s="20"/>
      <c r="P49" s="21"/>
      <c r="Q49" s="21"/>
    </row>
    <row r="50" spans="1:19" ht="14.25" thickTop="1" thickBot="1"/>
    <row r="51" spans="1:19" ht="13.5" customHeight="1" thickTop="1">
      <c r="A51" s="125" t="s">
        <v>66</v>
      </c>
      <c r="B51" s="129" t="s">
        <v>87</v>
      </c>
      <c r="C51" s="82" t="s">
        <v>88</v>
      </c>
      <c r="D51" s="130" t="s">
        <v>79</v>
      </c>
      <c r="E51" s="130" t="s">
        <v>89</v>
      </c>
      <c r="F51" s="112" t="s">
        <v>90</v>
      </c>
    </row>
    <row r="52" spans="1:19">
      <c r="A52" s="126"/>
      <c r="B52" s="131" t="s">
        <v>67</v>
      </c>
      <c r="C52" s="84">
        <v>4000</v>
      </c>
      <c r="D52" s="33">
        <f>COUNTIF(Q4:Q13,C52)</f>
        <v>2</v>
      </c>
      <c r="E52" s="84"/>
      <c r="F52" s="62"/>
    </row>
    <row r="53" spans="1:19">
      <c r="A53" s="126"/>
      <c r="B53" s="131" t="s">
        <v>68</v>
      </c>
      <c r="C53" s="134">
        <v>2000</v>
      </c>
      <c r="D53" s="33">
        <f>COUNTIF(R4:R13,C53)</f>
        <v>7</v>
      </c>
      <c r="E53" s="84"/>
      <c r="F53" s="62"/>
    </row>
    <row r="54" spans="1:19">
      <c r="A54" s="126"/>
      <c r="B54" s="131" t="s">
        <v>65</v>
      </c>
      <c r="C54" s="110" t="s">
        <v>69</v>
      </c>
      <c r="D54" s="33">
        <f>COUNTIF(S4:S13,C54)</f>
        <v>9</v>
      </c>
      <c r="E54" s="132"/>
      <c r="F54" s="62"/>
    </row>
    <row r="55" spans="1:19" ht="13.5" thickBot="1">
      <c r="A55" s="126"/>
      <c r="B55" s="133" t="s">
        <v>81</v>
      </c>
      <c r="C55" s="111"/>
      <c r="D55" s="38">
        <f>COUNTIF(Q4:Q13,C52)+COUNTIF(R4:R13,C53)+COUNTIF(S4:S13,C54)</f>
        <v>18</v>
      </c>
      <c r="E55" s="38"/>
      <c r="F55" s="63"/>
    </row>
    <row r="56" spans="1:19" ht="14.25" thickTop="1" thickBot="1">
      <c r="A56" s="126"/>
      <c r="B56" s="118" t="s">
        <v>78</v>
      </c>
      <c r="C56" s="89"/>
      <c r="D56" s="89"/>
      <c r="E56" s="89"/>
      <c r="F56" s="89"/>
      <c r="G56" s="89"/>
      <c r="H56" s="90"/>
      <c r="M56" s="20"/>
      <c r="N56" s="20"/>
      <c r="Q56" s="21"/>
      <c r="R56" s="21"/>
    </row>
    <row r="57" spans="1:19" ht="13.5" thickBot="1">
      <c r="A57" s="126"/>
      <c r="B57" s="119"/>
      <c r="C57" s="91" t="s">
        <v>79</v>
      </c>
      <c r="D57" s="92"/>
      <c r="E57" s="93"/>
      <c r="F57" s="91" t="s">
        <v>80</v>
      </c>
      <c r="G57" s="92"/>
      <c r="H57" s="94"/>
      <c r="M57" s="20"/>
      <c r="N57" s="20"/>
      <c r="R57" s="21"/>
      <c r="S57" s="21"/>
    </row>
    <row r="58" spans="1:19" ht="13.5" thickBot="1">
      <c r="A58" s="126"/>
      <c r="B58" s="120" t="s">
        <v>86</v>
      </c>
      <c r="C58" s="95" t="str">
        <f>B48</f>
        <v>שיווק</v>
      </c>
      <c r="D58" s="96" t="str">
        <f>B49</f>
        <v>חשבונאות</v>
      </c>
      <c r="E58" s="99" t="s">
        <v>81</v>
      </c>
      <c r="F58" s="95" t="str">
        <f>B48</f>
        <v>שיווק</v>
      </c>
      <c r="G58" s="96" t="str">
        <f>B49</f>
        <v>חשבונאות</v>
      </c>
      <c r="H58" s="97" t="s">
        <v>81</v>
      </c>
      <c r="M58" s="20"/>
      <c r="N58" s="20"/>
      <c r="R58" s="21"/>
      <c r="S58" s="21"/>
    </row>
    <row r="59" spans="1:19">
      <c r="A59" s="126"/>
      <c r="B59" s="121" t="s">
        <v>37</v>
      </c>
      <c r="C59" s="98"/>
      <c r="D59" s="60"/>
      <c r="E59" s="54"/>
      <c r="F59" s="98"/>
      <c r="G59" s="60"/>
      <c r="H59" s="100"/>
      <c r="M59" s="20"/>
      <c r="N59" s="20"/>
      <c r="R59" s="21"/>
      <c r="S59" s="21"/>
    </row>
    <row r="60" spans="1:19">
      <c r="A60" s="126"/>
      <c r="B60" s="122" t="s">
        <v>54</v>
      </c>
      <c r="C60" s="86"/>
      <c r="D60" s="33"/>
      <c r="E60" s="55"/>
      <c r="F60" s="86"/>
      <c r="G60" s="33"/>
      <c r="H60" s="62"/>
      <c r="M60" s="20"/>
      <c r="N60" s="20"/>
      <c r="R60" s="21"/>
      <c r="S60" s="21"/>
    </row>
    <row r="61" spans="1:19">
      <c r="A61" s="126"/>
      <c r="B61" s="122" t="s">
        <v>55</v>
      </c>
      <c r="C61" s="86"/>
      <c r="D61" s="33"/>
      <c r="E61" s="55"/>
      <c r="F61" s="85">
        <f>SUMIF(H4:H13,"שיווק",Q4:Q13)</f>
        <v>4000</v>
      </c>
      <c r="G61" s="84"/>
      <c r="H61" s="62"/>
      <c r="M61" s="20"/>
      <c r="N61" s="20"/>
      <c r="R61" s="21"/>
      <c r="S61" s="21"/>
    </row>
    <row r="62" spans="1:19" ht="13.5" thickBot="1">
      <c r="A62" s="126"/>
      <c r="B62" s="123" t="s">
        <v>85</v>
      </c>
      <c r="C62" s="101"/>
      <c r="D62" s="102"/>
      <c r="E62" s="103"/>
      <c r="F62" s="104"/>
      <c r="G62" s="105"/>
      <c r="H62" s="106"/>
      <c r="M62" s="20"/>
      <c r="N62" s="20"/>
      <c r="R62" s="21"/>
      <c r="S62" s="21"/>
    </row>
    <row r="63" spans="1:19">
      <c r="A63" s="126"/>
      <c r="B63" s="121" t="s">
        <v>38</v>
      </c>
      <c r="C63" s="98"/>
      <c r="D63" s="60"/>
      <c r="E63" s="54"/>
      <c r="F63" s="98"/>
      <c r="G63" s="60"/>
      <c r="H63" s="100"/>
      <c r="M63" s="20"/>
      <c r="N63" s="20"/>
      <c r="R63" s="21"/>
      <c r="S63" s="21"/>
    </row>
    <row r="64" spans="1:19">
      <c r="A64" s="126"/>
      <c r="B64" s="122" t="s">
        <v>54</v>
      </c>
      <c r="C64" s="86">
        <f>COUNTIFS(R4:R13,2000,E4:E13,"ז",H4:H13,"שיווק")</f>
        <v>1</v>
      </c>
      <c r="D64" s="33"/>
      <c r="E64" s="55"/>
      <c r="F64" s="85">
        <f>SUMIFS(R4:R13,E4:E13,"ז",H4:H13,"שיווק")</f>
        <v>2000</v>
      </c>
      <c r="G64" s="84"/>
      <c r="H64" s="62"/>
      <c r="M64" s="20"/>
      <c r="N64" s="20"/>
      <c r="R64" s="21"/>
      <c r="S64" s="21"/>
    </row>
    <row r="65" spans="1:19">
      <c r="A65" s="126"/>
      <c r="B65" s="122" t="s">
        <v>55</v>
      </c>
      <c r="C65" s="86"/>
      <c r="D65" s="33"/>
      <c r="E65" s="55"/>
      <c r="F65" s="85"/>
      <c r="G65" s="84"/>
      <c r="H65" s="62"/>
      <c r="M65" s="20"/>
      <c r="N65" s="20"/>
      <c r="R65" s="21"/>
      <c r="S65" s="21"/>
    </row>
    <row r="66" spans="1:19" ht="13.5" thickBot="1">
      <c r="A66" s="126"/>
      <c r="B66" s="123" t="s">
        <v>85</v>
      </c>
      <c r="C66" s="101"/>
      <c r="D66" s="102"/>
      <c r="E66" s="103"/>
      <c r="F66" s="104"/>
      <c r="G66" s="105"/>
      <c r="H66" s="106"/>
      <c r="M66" s="20"/>
      <c r="N66" s="20"/>
      <c r="R66" s="21"/>
      <c r="S66" s="21"/>
    </row>
    <row r="67" spans="1:19">
      <c r="A67" s="127"/>
      <c r="B67" s="121" t="s">
        <v>65</v>
      </c>
      <c r="C67" s="86"/>
      <c r="D67" s="33"/>
      <c r="E67" s="55"/>
      <c r="F67" s="86"/>
      <c r="G67" s="33"/>
      <c r="H67" s="37"/>
      <c r="M67" s="20"/>
      <c r="N67" s="20"/>
      <c r="R67" s="21"/>
      <c r="S67" s="21"/>
    </row>
    <row r="68" spans="1:19">
      <c r="A68" s="127"/>
      <c r="B68" s="122" t="s">
        <v>54</v>
      </c>
      <c r="C68" s="86"/>
      <c r="D68" s="33"/>
      <c r="E68" s="55"/>
      <c r="F68" s="85">
        <f>SUMIFS(S4:S13,E4:E13,C45,H4:H13,F58)</f>
        <v>0</v>
      </c>
      <c r="G68" s="84"/>
      <c r="H68" s="62"/>
      <c r="M68" s="20"/>
      <c r="N68" s="20"/>
      <c r="R68" s="21"/>
      <c r="S68" s="21"/>
    </row>
    <row r="69" spans="1:19">
      <c r="A69" s="127"/>
      <c r="B69" s="122" t="s">
        <v>55</v>
      </c>
      <c r="C69" s="86"/>
      <c r="D69" s="33"/>
      <c r="E69" s="55"/>
      <c r="F69" s="85"/>
      <c r="G69" s="84"/>
      <c r="H69" s="62"/>
      <c r="M69" s="20"/>
      <c r="N69" s="20"/>
      <c r="R69" s="21"/>
      <c r="S69" s="21"/>
    </row>
    <row r="70" spans="1:19" ht="13.5" thickBot="1">
      <c r="A70" s="127"/>
      <c r="B70" s="123" t="s">
        <v>85</v>
      </c>
      <c r="C70" s="101"/>
      <c r="D70" s="102"/>
      <c r="E70" s="103"/>
      <c r="F70" s="104"/>
      <c r="G70" s="105"/>
      <c r="H70" s="106"/>
      <c r="M70" s="20"/>
      <c r="N70" s="20"/>
      <c r="R70" s="21"/>
      <c r="S70" s="21"/>
    </row>
    <row r="71" spans="1:19" ht="13.5" thickBot="1">
      <c r="A71" s="128"/>
      <c r="B71" s="124" t="s">
        <v>81</v>
      </c>
      <c r="C71" s="115"/>
      <c r="D71" s="113"/>
      <c r="E71" s="116"/>
      <c r="F71" s="117"/>
      <c r="G71" s="113"/>
      <c r="H71" s="114"/>
      <c r="M71" s="20"/>
      <c r="N71" s="20"/>
      <c r="R71" s="21"/>
      <c r="S71" s="21"/>
    </row>
    <row r="72" spans="1:19" ht="13.5" thickTop="1"/>
  </sheetData>
  <mergeCells count="12">
    <mergeCell ref="A51:A71"/>
    <mergeCell ref="B56:H56"/>
    <mergeCell ref="C57:E57"/>
    <mergeCell ref="F57:H57"/>
    <mergeCell ref="A1:U1"/>
    <mergeCell ref="A3:A13"/>
    <mergeCell ref="A15:A30"/>
    <mergeCell ref="A32:A37"/>
    <mergeCell ref="A39:A42"/>
    <mergeCell ref="A44:A49"/>
    <mergeCell ref="B44:C44"/>
    <mergeCell ref="B47:C47"/>
  </mergeCells>
  <conditionalFormatting sqref="B4:B13">
    <cfRule type="duplicateValues" dxfId="11" priority="8"/>
  </conditionalFormatting>
  <conditionalFormatting sqref="L4:L1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{3E86FB08-4A12-48BC-96FE-6E3124D806AC}</x14:id>
        </ext>
      </extLst>
    </cfRule>
  </conditionalFormatting>
  <conditionalFormatting sqref="O4:O13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cellIs" dxfId="10" priority="3" operator="equal">
      <formula>$B$40</formula>
    </cfRule>
    <cfRule type="cellIs" dxfId="9" priority="4" operator="equal">
      <formula>$B$41</formula>
    </cfRule>
    <cfRule type="cellIs" dxfId="8" priority="5" operator="equal">
      <formula>$B$42</formula>
    </cfRule>
  </conditionalFormatting>
  <conditionalFormatting sqref="B4:S13">
    <cfRule type="expression" dxfId="7" priority="2">
      <formula>$P4=$B$40</formula>
    </cfRule>
  </conditionalFormatting>
  <conditionalFormatting sqref="T4:U13">
    <cfRule type="expression" dxfId="6" priority="1">
      <formula>$P4=$B$40</formula>
    </cfRule>
  </conditionalFormatting>
  <dataValidations disablePrompts="1"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E4:E13">
      <formula1>$F$45:$F$49</formula1>
    </dataValidation>
    <dataValidation type="whole" allowBlank="1" showInputMessage="1" showErrorMessage="1" sqref="M4:N13 I4:K13">
      <formula1>$C$40</formula1>
      <formula2>$D$42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86FB08-4A12-48BC-96FE-6E3124D806A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L4:L13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2"/>
  <sheetViews>
    <sheetView rightToLeft="1" workbookViewId="0">
      <selection sqref="A1:U1"/>
    </sheetView>
  </sheetViews>
  <sheetFormatPr defaultRowHeight="12.75"/>
  <cols>
    <col min="1" max="1" width="4.7109375" style="20" customWidth="1"/>
    <col min="2" max="2" width="22.28515625" style="20" bestFit="1" customWidth="1"/>
    <col min="3" max="3" width="10.28515625" style="20" bestFit="1" customWidth="1"/>
    <col min="4" max="4" width="10.140625" style="20" bestFit="1" customWidth="1"/>
    <col min="5" max="6" width="8.5703125" style="20" bestFit="1" customWidth="1"/>
    <col min="7" max="7" width="8.85546875" style="20" bestFit="1" customWidth="1"/>
    <col min="8" max="8" width="8.140625" style="20" bestFit="1" customWidth="1"/>
    <col min="9" max="12" width="7" style="20" customWidth="1"/>
    <col min="13" max="13" width="8.7109375" style="21" customWidth="1"/>
    <col min="14" max="14" width="8.140625" style="21" customWidth="1"/>
    <col min="15" max="15" width="6.5703125" style="20" customWidth="1"/>
    <col min="16" max="16384" width="9.140625" style="20"/>
  </cols>
  <sheetData>
    <row r="1" spans="1:21" ht="30.75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3.5" thickBot="1"/>
    <row r="3" spans="1:21" s="19" customFormat="1" ht="39.75" thickTop="1" thickBot="1">
      <c r="A3" s="75" t="s">
        <v>44</v>
      </c>
      <c r="B3" s="47" t="s">
        <v>39</v>
      </c>
      <c r="C3" s="48" t="s">
        <v>1</v>
      </c>
      <c r="D3" s="48" t="s">
        <v>57</v>
      </c>
      <c r="E3" s="48" t="s">
        <v>8</v>
      </c>
      <c r="F3" s="48" t="s">
        <v>49</v>
      </c>
      <c r="G3" s="48" t="s">
        <v>48</v>
      </c>
      <c r="H3" s="48" t="s">
        <v>52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8" t="s">
        <v>14</v>
      </c>
      <c r="O3" s="48" t="s">
        <v>15</v>
      </c>
      <c r="P3" s="48" t="s">
        <v>16</v>
      </c>
      <c r="Q3" s="48" t="s">
        <v>37</v>
      </c>
      <c r="R3" s="48" t="s">
        <v>38</v>
      </c>
      <c r="S3" s="59" t="s">
        <v>65</v>
      </c>
      <c r="T3" s="52" t="s">
        <v>70</v>
      </c>
      <c r="U3" s="53" t="s">
        <v>71</v>
      </c>
    </row>
    <row r="4" spans="1:21">
      <c r="A4" s="76"/>
      <c r="B4" s="26">
        <v>123456789</v>
      </c>
      <c r="C4" s="3" t="s">
        <v>2</v>
      </c>
      <c r="D4" s="16" t="s">
        <v>58</v>
      </c>
      <c r="E4" s="27" t="s">
        <v>17</v>
      </c>
      <c r="F4" s="4">
        <v>9877665</v>
      </c>
      <c r="G4" s="7">
        <v>123</v>
      </c>
      <c r="H4" s="16" t="s">
        <v>53</v>
      </c>
      <c r="I4" s="3">
        <v>89</v>
      </c>
      <c r="J4" s="3">
        <v>86</v>
      </c>
      <c r="K4" s="3">
        <v>99</v>
      </c>
      <c r="L4" s="10">
        <f t="shared" ref="L4:L13" si="0">AVERAGE(I4:K4)</f>
        <v>91.333333333333329</v>
      </c>
      <c r="M4" s="3">
        <v>99</v>
      </c>
      <c r="N4" s="3">
        <v>80</v>
      </c>
      <c r="O4" s="13">
        <f>ROUND(I4*$C$32+J4*$C$33+K4*$C$34+M4*$C$35+N4*$C$36,0)</f>
        <v>89</v>
      </c>
      <c r="P4" s="3" t="str">
        <f>IF(O4&lt;$C$41,$B$40,IF(O4&lt;$C$42,$B$41,$B$42))</f>
        <v>מצטיין</v>
      </c>
      <c r="Q4" s="49">
        <f>IF(AND(E4=$C$46,P4=$B$42),$C$52,0)</f>
        <v>0</v>
      </c>
      <c r="R4" s="49">
        <f>IF(OR(E4=$C$46,P4=$B$42),$C$53,"")</f>
        <v>2000</v>
      </c>
      <c r="S4" s="64" t="str">
        <f>IF(NOT(O4&lt;$C$41),$C$54,"")</f>
        <v>מלגה</v>
      </c>
      <c r="T4" s="65">
        <f>_xlfn.RANK.EQ(O4,$O$4:$O$13,0)</f>
        <v>2</v>
      </c>
      <c r="U4" s="66">
        <f>PERCENTRANK($O$4:$O$13,O4)</f>
        <v>0.88800000000000001</v>
      </c>
    </row>
    <row r="5" spans="1:21">
      <c r="A5" s="76"/>
      <c r="B5" s="24">
        <v>193878400</v>
      </c>
      <c r="C5" s="1" t="s">
        <v>3</v>
      </c>
      <c r="D5" s="17" t="s">
        <v>59</v>
      </c>
      <c r="E5" s="28" t="s">
        <v>18</v>
      </c>
      <c r="F5" s="5">
        <v>9876544</v>
      </c>
      <c r="G5" s="8">
        <v>70000</v>
      </c>
      <c r="H5" s="17" t="s">
        <v>53</v>
      </c>
      <c r="I5" s="1">
        <v>81</v>
      </c>
      <c r="J5" s="1">
        <v>80</v>
      </c>
      <c r="K5" s="1">
        <v>82</v>
      </c>
      <c r="L5" s="11">
        <f t="shared" si="0"/>
        <v>81</v>
      </c>
      <c r="M5" s="1">
        <v>81</v>
      </c>
      <c r="N5" s="1">
        <v>81</v>
      </c>
      <c r="O5" s="14">
        <f t="shared" ref="O5:O13" si="1">ROUND(I5*$C$32+J5*$C$33+K5*$C$34+M5*$C$35+N5*$C$36,0)</f>
        <v>81</v>
      </c>
      <c r="P5" s="1" t="str">
        <f t="shared" ref="P5:P13" si="2">IF(O5&lt;$C$41,$B$40,IF(O5&lt;$C$42,$B$41,$B$42))</f>
        <v>עובר</v>
      </c>
      <c r="Q5" s="50">
        <f>IF(AND(E5=$C$46,P5=$B$42),$C$52,0)</f>
        <v>0</v>
      </c>
      <c r="R5" s="50">
        <f>IF(OR(E5=$C$46,P5=$B$42),$C$53,"")</f>
        <v>2000</v>
      </c>
      <c r="S5" s="50" t="str">
        <f>IF(NOT(O5&lt;$C$41),$C$54,"")</f>
        <v>מלגה</v>
      </c>
      <c r="T5" s="50">
        <f t="shared" ref="T5:T13" si="3">_xlfn.RANK.EQ(O5,$O$4:$O$13,0)</f>
        <v>4</v>
      </c>
      <c r="U5" s="40">
        <f t="shared" ref="U5:U13" si="4">PERCENTRANK($O$4:$O$13,O5)</f>
        <v>0.66600000000000004</v>
      </c>
    </row>
    <row r="6" spans="1:21">
      <c r="A6" s="76"/>
      <c r="B6" s="24">
        <v>658370843</v>
      </c>
      <c r="C6" s="1" t="s">
        <v>4</v>
      </c>
      <c r="D6" s="17" t="s">
        <v>60</v>
      </c>
      <c r="E6" s="28" t="s">
        <v>18</v>
      </c>
      <c r="F6" s="5">
        <v>2118758</v>
      </c>
      <c r="G6" s="8">
        <v>55326</v>
      </c>
      <c r="H6" s="17" t="s">
        <v>53</v>
      </c>
      <c r="I6" s="1">
        <v>67</v>
      </c>
      <c r="J6" s="1">
        <v>99</v>
      </c>
      <c r="K6" s="1">
        <v>69</v>
      </c>
      <c r="L6" s="11">
        <f t="shared" si="0"/>
        <v>78.333333333333329</v>
      </c>
      <c r="M6" s="1">
        <v>90</v>
      </c>
      <c r="N6" s="1">
        <v>85</v>
      </c>
      <c r="O6" s="14">
        <f t="shared" si="1"/>
        <v>85</v>
      </c>
      <c r="P6" s="1" t="str">
        <f t="shared" si="2"/>
        <v>מצטיין</v>
      </c>
      <c r="Q6" s="50">
        <f>IF(AND(E6=$C$46,P6=$B$42),$C$52,0)</f>
        <v>4000</v>
      </c>
      <c r="R6" s="50">
        <f>IF(OR(E6=$C$46,P6=$B$42),$C$53,"")</f>
        <v>2000</v>
      </c>
      <c r="S6" s="50" t="str">
        <f>IF(NOT(O6&lt;$C$41),$C$54,"")</f>
        <v>מלגה</v>
      </c>
      <c r="T6" s="50">
        <f t="shared" si="3"/>
        <v>3</v>
      </c>
      <c r="U6" s="40">
        <f t="shared" si="4"/>
        <v>0.77700000000000002</v>
      </c>
    </row>
    <row r="7" spans="1:21">
      <c r="A7" s="76"/>
      <c r="B7" s="24">
        <v>830998987</v>
      </c>
      <c r="C7" s="1" t="s">
        <v>5</v>
      </c>
      <c r="D7" s="17" t="s">
        <v>61</v>
      </c>
      <c r="E7" s="28" t="s">
        <v>18</v>
      </c>
      <c r="F7" s="5">
        <v>3527439</v>
      </c>
      <c r="G7" s="8">
        <v>56324</v>
      </c>
      <c r="H7" s="17" t="s">
        <v>53</v>
      </c>
      <c r="I7" s="1">
        <v>80</v>
      </c>
      <c r="J7" s="1"/>
      <c r="K7" s="1">
        <v>87</v>
      </c>
      <c r="L7" s="11">
        <f t="shared" si="0"/>
        <v>83.5</v>
      </c>
      <c r="M7" s="1">
        <v>90</v>
      </c>
      <c r="N7" s="1"/>
      <c r="O7" s="14">
        <f t="shared" si="1"/>
        <v>44</v>
      </c>
      <c r="P7" s="1" t="str">
        <f t="shared" si="2"/>
        <v>נכשל</v>
      </c>
      <c r="Q7" s="50">
        <f>IF(AND(E7=$C$46,P7=$B$42),$C$52,0)</f>
        <v>0</v>
      </c>
      <c r="R7" s="50">
        <f>IF(OR(E7=$C$46,P7=$B$42),$C$53,"")</f>
        <v>2000</v>
      </c>
      <c r="S7" s="50" t="str">
        <f>IF(NOT(O7&lt;$C$41),$C$54,"")</f>
        <v/>
      </c>
      <c r="T7" s="50">
        <f t="shared" si="3"/>
        <v>10</v>
      </c>
      <c r="U7" s="40">
        <f t="shared" si="4"/>
        <v>0</v>
      </c>
    </row>
    <row r="8" spans="1:21">
      <c r="A8" s="76"/>
      <c r="B8" s="26">
        <v>123456789</v>
      </c>
      <c r="C8" s="1" t="s">
        <v>40</v>
      </c>
      <c r="D8" s="17" t="s">
        <v>62</v>
      </c>
      <c r="E8" s="28" t="s">
        <v>17</v>
      </c>
      <c r="F8" s="5">
        <v>7563094</v>
      </c>
      <c r="G8" s="8">
        <v>86534</v>
      </c>
      <c r="H8" s="17" t="s">
        <v>53</v>
      </c>
      <c r="I8" s="1">
        <v>91</v>
      </c>
      <c r="J8" s="1">
        <v>79</v>
      </c>
      <c r="K8" s="1">
        <v>85</v>
      </c>
      <c r="L8" s="11">
        <f t="shared" si="0"/>
        <v>85</v>
      </c>
      <c r="M8" s="1">
        <v>100</v>
      </c>
      <c r="N8" s="1">
        <v>50</v>
      </c>
      <c r="O8" s="14">
        <f t="shared" si="1"/>
        <v>76</v>
      </c>
      <c r="P8" s="1" t="str">
        <f t="shared" si="2"/>
        <v>עובר</v>
      </c>
      <c r="Q8" s="50">
        <f>IF(AND(E8=$C$46,P8=$B$42),$C$52,0)</f>
        <v>0</v>
      </c>
      <c r="R8" s="50" t="str">
        <f>IF(OR(E8=$C$46,P8=$B$42),$C$53,"")</f>
        <v/>
      </c>
      <c r="S8" s="50" t="str">
        <f>IF(NOT(O8&lt;$C$41),$C$54,"")</f>
        <v>מלגה</v>
      </c>
      <c r="T8" s="50">
        <f t="shared" si="3"/>
        <v>6</v>
      </c>
      <c r="U8" s="40">
        <f t="shared" si="4"/>
        <v>0.44400000000000001</v>
      </c>
    </row>
    <row r="9" spans="1:21">
      <c r="A9" s="76"/>
      <c r="B9" s="24">
        <v>298754355</v>
      </c>
      <c r="C9" s="1" t="s">
        <v>6</v>
      </c>
      <c r="D9" s="17" t="s">
        <v>60</v>
      </c>
      <c r="E9" s="28" t="s">
        <v>17</v>
      </c>
      <c r="F9" s="5">
        <v>8763456</v>
      </c>
      <c r="G9" s="8">
        <v>83934</v>
      </c>
      <c r="H9" s="17" t="s">
        <v>0</v>
      </c>
      <c r="I9" s="1">
        <v>88</v>
      </c>
      <c r="J9" s="1">
        <v>90</v>
      </c>
      <c r="K9" s="1">
        <v>74</v>
      </c>
      <c r="L9" s="11">
        <f t="shared" si="0"/>
        <v>84</v>
      </c>
      <c r="M9" s="1">
        <v>55</v>
      </c>
      <c r="N9" s="1">
        <v>45</v>
      </c>
      <c r="O9" s="14">
        <f t="shared" si="1"/>
        <v>60</v>
      </c>
      <c r="P9" s="1" t="str">
        <f t="shared" si="2"/>
        <v>עובר</v>
      </c>
      <c r="Q9" s="50">
        <f>IF(AND(E9=$C$46,P9=$B$42),$C$52,0)</f>
        <v>0</v>
      </c>
      <c r="R9" s="50" t="str">
        <f>IF(OR(E9=$C$46,P9=$B$42),$C$53,"")</f>
        <v/>
      </c>
      <c r="S9" s="50" t="str">
        <f>IF(NOT(O9&lt;$C$41),$C$54,"")</f>
        <v>מלגה</v>
      </c>
      <c r="T9" s="50">
        <f t="shared" si="3"/>
        <v>8</v>
      </c>
      <c r="U9" s="40">
        <f t="shared" si="4"/>
        <v>0.111</v>
      </c>
    </row>
    <row r="10" spans="1:21">
      <c r="A10" s="76"/>
      <c r="B10" s="24">
        <v>983687692</v>
      </c>
      <c r="C10" s="1" t="s">
        <v>7</v>
      </c>
      <c r="D10" s="17" t="s">
        <v>63</v>
      </c>
      <c r="E10" s="28" t="s">
        <v>18</v>
      </c>
      <c r="F10" s="5">
        <v>6347234</v>
      </c>
      <c r="G10" s="8">
        <v>55235</v>
      </c>
      <c r="H10" s="17" t="s">
        <v>0</v>
      </c>
      <c r="I10" s="1">
        <v>45</v>
      </c>
      <c r="J10" s="1">
        <v>60</v>
      </c>
      <c r="K10" s="1"/>
      <c r="L10" s="11">
        <f t="shared" si="0"/>
        <v>52.5</v>
      </c>
      <c r="M10" s="1">
        <v>99</v>
      </c>
      <c r="N10" s="1">
        <v>94</v>
      </c>
      <c r="O10" s="14">
        <f t="shared" si="1"/>
        <v>78</v>
      </c>
      <c r="P10" s="1" t="str">
        <f t="shared" si="2"/>
        <v>עובר</v>
      </c>
      <c r="Q10" s="50">
        <f>IF(AND(E10=$C$46,P10=$B$42),$C$52,0)</f>
        <v>0</v>
      </c>
      <c r="R10" s="50">
        <f>IF(OR(E10=$C$46,P10=$B$42),$C$53,"")</f>
        <v>2000</v>
      </c>
      <c r="S10" s="50" t="str">
        <f>IF(NOT(O10&lt;$C$41),$C$54,"")</f>
        <v>מלגה</v>
      </c>
      <c r="T10" s="50">
        <f t="shared" si="3"/>
        <v>5</v>
      </c>
      <c r="U10" s="40">
        <f t="shared" si="4"/>
        <v>0.55500000000000005</v>
      </c>
    </row>
    <row r="11" spans="1:21">
      <c r="A11" s="76"/>
      <c r="B11" s="24">
        <v>947465892</v>
      </c>
      <c r="C11" s="1" t="s">
        <v>19</v>
      </c>
      <c r="D11" s="17" t="s">
        <v>59</v>
      </c>
      <c r="E11" s="28" t="s">
        <v>17</v>
      </c>
      <c r="F11" s="5">
        <v>3434324</v>
      </c>
      <c r="G11" s="8">
        <v>41466</v>
      </c>
      <c r="H11" s="17" t="s">
        <v>0</v>
      </c>
      <c r="I11" s="1"/>
      <c r="J11" s="1">
        <v>79</v>
      </c>
      <c r="K11" s="1">
        <v>99</v>
      </c>
      <c r="L11" s="11">
        <f t="shared" si="0"/>
        <v>89</v>
      </c>
      <c r="M11" s="1">
        <v>86</v>
      </c>
      <c r="N11" s="1">
        <v>65</v>
      </c>
      <c r="O11" s="14">
        <f t="shared" si="1"/>
        <v>70</v>
      </c>
      <c r="P11" s="1" t="str">
        <f t="shared" si="2"/>
        <v>עובר</v>
      </c>
      <c r="Q11" s="50">
        <f>IF(AND(E11=$C$46,P11=$B$42),$C$52,0)</f>
        <v>0</v>
      </c>
      <c r="R11" s="50" t="str">
        <f>IF(OR(E11=$C$46,P11=$B$42),$C$53,"")</f>
        <v/>
      </c>
      <c r="S11" s="50" t="str">
        <f>IF(NOT(O11&lt;$C$41),$C$54,"")</f>
        <v>מלגה</v>
      </c>
      <c r="T11" s="50">
        <f t="shared" si="3"/>
        <v>7</v>
      </c>
      <c r="U11" s="40">
        <f t="shared" si="4"/>
        <v>0.33300000000000002</v>
      </c>
    </row>
    <row r="12" spans="1:21">
      <c r="A12" s="76"/>
      <c r="B12" s="24">
        <v>388923057</v>
      </c>
      <c r="C12" s="1" t="s">
        <v>5</v>
      </c>
      <c r="D12" s="17" t="s">
        <v>64</v>
      </c>
      <c r="E12" s="28" t="s">
        <v>18</v>
      </c>
      <c r="F12" s="5">
        <v>8743644</v>
      </c>
      <c r="G12" s="8">
        <v>44141</v>
      </c>
      <c r="H12" s="17" t="s">
        <v>0</v>
      </c>
      <c r="I12" s="1">
        <v>60</v>
      </c>
      <c r="J12" s="1">
        <v>100</v>
      </c>
      <c r="K12" s="1">
        <v>80</v>
      </c>
      <c r="L12" s="11">
        <f t="shared" si="0"/>
        <v>80</v>
      </c>
      <c r="M12" s="1">
        <v>40</v>
      </c>
      <c r="N12" s="1">
        <v>61</v>
      </c>
      <c r="O12" s="14">
        <f t="shared" si="1"/>
        <v>60</v>
      </c>
      <c r="P12" s="1" t="str">
        <f t="shared" si="2"/>
        <v>עובר</v>
      </c>
      <c r="Q12" s="50">
        <f>IF(AND(E12=$C$46,P12=$B$42),$C$52,0)</f>
        <v>0</v>
      </c>
      <c r="R12" s="50">
        <f>IF(OR(E12=$C$46,P12=$B$42),$C$53,"")</f>
        <v>2000</v>
      </c>
      <c r="S12" s="50" t="str">
        <f>IF(NOT(O12&lt;$C$41),$C$54,"")</f>
        <v>מלגה</v>
      </c>
      <c r="T12" s="50">
        <f t="shared" si="3"/>
        <v>8</v>
      </c>
      <c r="U12" s="40">
        <f t="shared" si="4"/>
        <v>0.111</v>
      </c>
    </row>
    <row r="13" spans="1:21" ht="13.5" thickBot="1">
      <c r="A13" s="77"/>
      <c r="B13" s="25">
        <v>244576280</v>
      </c>
      <c r="C13" s="2" t="s">
        <v>19</v>
      </c>
      <c r="D13" s="18" t="s">
        <v>59</v>
      </c>
      <c r="E13" s="29" t="s">
        <v>18</v>
      </c>
      <c r="F13" s="6">
        <v>3252524</v>
      </c>
      <c r="G13" s="9">
        <v>44451</v>
      </c>
      <c r="H13" s="18" t="s">
        <v>0</v>
      </c>
      <c r="I13" s="2">
        <v>94</v>
      </c>
      <c r="J13" s="2">
        <v>100</v>
      </c>
      <c r="K13" s="2">
        <v>93</v>
      </c>
      <c r="L13" s="12">
        <f t="shared" si="0"/>
        <v>95.666666666666671</v>
      </c>
      <c r="M13" s="2">
        <v>95</v>
      </c>
      <c r="N13" s="2">
        <v>100</v>
      </c>
      <c r="O13" s="15">
        <f t="shared" si="1"/>
        <v>97</v>
      </c>
      <c r="P13" s="2" t="str">
        <f t="shared" si="2"/>
        <v>מצטיין</v>
      </c>
      <c r="Q13" s="51">
        <f>IF(AND(E13=$C$46,P13=$B$42),$C$52,0)</f>
        <v>4000</v>
      </c>
      <c r="R13" s="51">
        <f>IF(OR(E13=$C$46,P13=$B$42),$C$53,"")</f>
        <v>2000</v>
      </c>
      <c r="S13" s="51" t="str">
        <f>IF(NOT(O13&lt;$C$41),$C$54,"")</f>
        <v>מלגה</v>
      </c>
      <c r="T13" s="51">
        <f t="shared" si="3"/>
        <v>1</v>
      </c>
      <c r="U13" s="67">
        <f t="shared" si="4"/>
        <v>1</v>
      </c>
    </row>
    <row r="14" spans="1:21" ht="14.25" thickTop="1" thickBot="1">
      <c r="A14"/>
      <c r="M14" s="20"/>
      <c r="N14" s="20"/>
    </row>
    <row r="15" spans="1:21" ht="13.5" thickTop="1">
      <c r="A15" s="78" t="s">
        <v>45</v>
      </c>
      <c r="B15" s="30" t="s">
        <v>20</v>
      </c>
      <c r="C15" s="30"/>
      <c r="D15" s="30"/>
      <c r="E15" s="30"/>
      <c r="F15" s="30"/>
      <c r="G15" s="30"/>
      <c r="H15" s="30"/>
      <c r="I15" s="31">
        <f>AVERAGE(I4:I13)</f>
        <v>77.222222222222229</v>
      </c>
      <c r="J15" s="31">
        <f t="shared" ref="J15:O15" si="5">AVERAGE(J4:J13)</f>
        <v>85.888888888888886</v>
      </c>
      <c r="K15" s="31">
        <f t="shared" si="5"/>
        <v>85.333333333333329</v>
      </c>
      <c r="L15" s="31">
        <f t="shared" si="5"/>
        <v>82.033333333333331</v>
      </c>
      <c r="M15" s="31">
        <f t="shared" si="5"/>
        <v>83.5</v>
      </c>
      <c r="N15" s="31">
        <f t="shared" si="5"/>
        <v>73.444444444444443</v>
      </c>
      <c r="O15" s="32">
        <f t="shared" si="5"/>
        <v>74</v>
      </c>
    </row>
    <row r="16" spans="1:21">
      <c r="A16" s="79"/>
      <c r="B16" s="33" t="s">
        <v>21</v>
      </c>
      <c r="C16" s="33"/>
      <c r="D16" s="33"/>
      <c r="E16" s="33"/>
      <c r="F16" s="33"/>
      <c r="G16" s="33"/>
      <c r="H16" s="33"/>
      <c r="I16" s="34">
        <f>MEDIAN(I4:I13)</f>
        <v>81</v>
      </c>
      <c r="J16" s="34">
        <f t="shared" ref="J16:O16" si="6">MEDIAN(J4:J13)</f>
        <v>86</v>
      </c>
      <c r="K16" s="34">
        <f t="shared" si="6"/>
        <v>85</v>
      </c>
      <c r="L16" s="34">
        <f t="shared" si="6"/>
        <v>83.75</v>
      </c>
      <c r="M16" s="34">
        <f t="shared" si="6"/>
        <v>90</v>
      </c>
      <c r="N16" s="34">
        <f t="shared" si="6"/>
        <v>80</v>
      </c>
      <c r="O16" s="35">
        <f t="shared" si="6"/>
        <v>77</v>
      </c>
    </row>
    <row r="17" spans="1:15">
      <c r="A17" s="79"/>
      <c r="B17" s="33" t="s">
        <v>22</v>
      </c>
      <c r="C17" s="33"/>
      <c r="D17" s="33"/>
      <c r="E17" s="33"/>
      <c r="F17" s="33"/>
      <c r="G17" s="33"/>
      <c r="H17" s="33"/>
      <c r="I17" s="34" t="e">
        <f>_xlfn.MODE.SNGL(I4:I13)</f>
        <v>#N/A</v>
      </c>
      <c r="J17" s="34">
        <f t="shared" ref="J17:O17" si="7">_xlfn.MODE.SNGL(J4:J13)</f>
        <v>79</v>
      </c>
      <c r="K17" s="34">
        <f t="shared" si="7"/>
        <v>99</v>
      </c>
      <c r="L17" s="34" t="e">
        <f t="shared" si="7"/>
        <v>#N/A</v>
      </c>
      <c r="M17" s="34">
        <f t="shared" si="7"/>
        <v>99</v>
      </c>
      <c r="N17" s="34" t="e">
        <f t="shared" si="7"/>
        <v>#N/A</v>
      </c>
      <c r="O17" s="35">
        <f t="shared" si="7"/>
        <v>60</v>
      </c>
    </row>
    <row r="18" spans="1:15">
      <c r="A18" s="79"/>
      <c r="B18" s="33" t="s">
        <v>23</v>
      </c>
      <c r="C18" s="33"/>
      <c r="D18" s="33"/>
      <c r="E18" s="33"/>
      <c r="F18" s="33"/>
      <c r="G18" s="33"/>
      <c r="H18" s="33"/>
      <c r="I18" s="34">
        <f>MAX(I4:I13)</f>
        <v>94</v>
      </c>
      <c r="J18" s="34">
        <f t="shared" ref="J18:O18" si="8">MAX(J4:J13)</f>
        <v>100</v>
      </c>
      <c r="K18" s="34">
        <f t="shared" si="8"/>
        <v>99</v>
      </c>
      <c r="L18" s="34">
        <f t="shared" si="8"/>
        <v>95.666666666666671</v>
      </c>
      <c r="M18" s="34">
        <f t="shared" si="8"/>
        <v>100</v>
      </c>
      <c r="N18" s="34">
        <f t="shared" si="8"/>
        <v>100</v>
      </c>
      <c r="O18" s="35">
        <f t="shared" si="8"/>
        <v>97</v>
      </c>
    </row>
    <row r="19" spans="1:15">
      <c r="A19" s="79"/>
      <c r="B19" s="33" t="s">
        <v>24</v>
      </c>
      <c r="C19" s="33"/>
      <c r="D19" s="33"/>
      <c r="E19" s="33"/>
      <c r="F19" s="33"/>
      <c r="G19" s="33"/>
      <c r="H19" s="33"/>
      <c r="I19" s="34">
        <f>MIN(I4:I13)</f>
        <v>45</v>
      </c>
      <c r="J19" s="34">
        <f t="shared" ref="J19:O19" si="9">MIN(J4:J13)</f>
        <v>60</v>
      </c>
      <c r="K19" s="34">
        <f t="shared" si="9"/>
        <v>69</v>
      </c>
      <c r="L19" s="34">
        <f t="shared" si="9"/>
        <v>52.5</v>
      </c>
      <c r="M19" s="34">
        <f t="shared" si="9"/>
        <v>40</v>
      </c>
      <c r="N19" s="34">
        <f t="shared" si="9"/>
        <v>45</v>
      </c>
      <c r="O19" s="35">
        <f t="shared" si="9"/>
        <v>44</v>
      </c>
    </row>
    <row r="20" spans="1:15">
      <c r="A20" s="79"/>
      <c r="B20" s="33" t="s">
        <v>41</v>
      </c>
      <c r="C20" s="33"/>
      <c r="D20" s="33"/>
      <c r="E20" s="33"/>
      <c r="F20" s="33"/>
      <c r="G20" s="33"/>
      <c r="H20" s="33"/>
      <c r="I20" s="34">
        <f>_xlfn.STDEV.P(I4:I13)</f>
        <v>15.59043708159145</v>
      </c>
      <c r="J20" s="34">
        <f t="shared" ref="J20:O20" si="10">_xlfn.STDEV.P(J4:J13)</f>
        <v>12.4136523808305</v>
      </c>
      <c r="K20" s="34">
        <f t="shared" si="10"/>
        <v>9.8319208025017506</v>
      </c>
      <c r="L20" s="34">
        <f t="shared" si="10"/>
        <v>11.076200712438522</v>
      </c>
      <c r="M20" s="34">
        <f t="shared" si="10"/>
        <v>19.200260414900626</v>
      </c>
      <c r="N20" s="34">
        <f t="shared" si="10"/>
        <v>18.093038017186554</v>
      </c>
      <c r="O20" s="35">
        <f t="shared" si="10"/>
        <v>15.006665185843255</v>
      </c>
    </row>
    <row r="21" spans="1:15">
      <c r="A21" s="79"/>
      <c r="B21" s="33" t="s">
        <v>42</v>
      </c>
      <c r="C21" s="33"/>
      <c r="D21" s="33"/>
      <c r="E21" s="33"/>
      <c r="F21" s="33"/>
      <c r="G21" s="33"/>
      <c r="H21" s="33"/>
      <c r="I21" s="34">
        <f>_xlfn.VAR.P(I4:I13)</f>
        <v>243.06172839506172</v>
      </c>
      <c r="J21" s="34">
        <f t="shared" ref="J21:O21" si="11">_xlfn.VAR.P(J4:J13)</f>
        <v>154.09876543209876</v>
      </c>
      <c r="K21" s="34">
        <f t="shared" si="11"/>
        <v>96.666666666666671</v>
      </c>
      <c r="L21" s="34">
        <f t="shared" si="11"/>
        <v>122.68222222222364</v>
      </c>
      <c r="M21" s="34">
        <f t="shared" si="11"/>
        <v>368.65</v>
      </c>
      <c r="N21" s="34">
        <f t="shared" si="11"/>
        <v>327.35802469135803</v>
      </c>
      <c r="O21" s="35">
        <f t="shared" si="11"/>
        <v>225.2</v>
      </c>
    </row>
    <row r="22" spans="1:15">
      <c r="A22" s="79"/>
      <c r="B22" s="33" t="s">
        <v>35</v>
      </c>
      <c r="C22" s="33"/>
      <c r="D22" s="33"/>
      <c r="E22" s="33"/>
      <c r="F22" s="33"/>
      <c r="G22" s="33"/>
      <c r="H22" s="33"/>
      <c r="I22" s="34">
        <f>COUNT(I4:I13)</f>
        <v>9</v>
      </c>
      <c r="J22" s="34">
        <f t="shared" ref="J22:O22" si="12">COUNT(J4:J13)</f>
        <v>9</v>
      </c>
      <c r="K22" s="34">
        <f t="shared" si="12"/>
        <v>9</v>
      </c>
      <c r="L22" s="34">
        <f t="shared" si="12"/>
        <v>10</v>
      </c>
      <c r="M22" s="34">
        <f t="shared" si="12"/>
        <v>10</v>
      </c>
      <c r="N22" s="34">
        <f t="shared" si="12"/>
        <v>9</v>
      </c>
      <c r="O22" s="35">
        <f t="shared" si="12"/>
        <v>10</v>
      </c>
    </row>
    <row r="23" spans="1:15">
      <c r="A23" s="79"/>
      <c r="B23" s="1" t="s">
        <v>25</v>
      </c>
      <c r="C23" s="1"/>
      <c r="D23" s="1"/>
      <c r="E23" s="1"/>
      <c r="F23" s="1"/>
      <c r="G23" s="1"/>
      <c r="H23" s="33"/>
      <c r="I23" s="33">
        <f xml:space="preserve"> COUNTIF(I4:I13,"&lt;"&amp;$C$41)</f>
        <v>1</v>
      </c>
      <c r="J23" s="33">
        <f t="shared" ref="J23:O23" si="13" xml:space="preserve"> COUNTIF(J4:J13,"&lt;"&amp;$C$41)</f>
        <v>0</v>
      </c>
      <c r="K23" s="33">
        <f t="shared" si="13"/>
        <v>0</v>
      </c>
      <c r="L23" s="33">
        <f t="shared" si="13"/>
        <v>1</v>
      </c>
      <c r="M23" s="36">
        <f t="shared" si="13"/>
        <v>2</v>
      </c>
      <c r="N23" s="33">
        <f t="shared" si="13"/>
        <v>2</v>
      </c>
      <c r="O23" s="37">
        <f t="shared" si="13"/>
        <v>1</v>
      </c>
    </row>
    <row r="24" spans="1:15">
      <c r="A24" s="79"/>
      <c r="B24" s="1" t="s">
        <v>50</v>
      </c>
      <c r="C24" s="1"/>
      <c r="D24" s="1"/>
      <c r="E24" s="1"/>
      <c r="F24" s="1"/>
      <c r="G24" s="1"/>
      <c r="H24" s="33"/>
      <c r="I24" s="33">
        <f>COUNTIFS(I4:I13,"&gt;="&amp;$C$41,I4:I13,"&lt;"&amp;$C$42)</f>
        <v>4</v>
      </c>
      <c r="J24" s="33">
        <f t="shared" ref="J24:O24" si="14">COUNTIFS(J4:J13,"&gt;="&amp;$C$41,J4:J13,"&lt;"&amp;$C$42)</f>
        <v>4</v>
      </c>
      <c r="K24" s="33">
        <f t="shared" si="14"/>
        <v>4</v>
      </c>
      <c r="L24" s="33">
        <f t="shared" si="14"/>
        <v>5</v>
      </c>
      <c r="M24" s="36">
        <f t="shared" si="14"/>
        <v>1</v>
      </c>
      <c r="N24" s="33">
        <f t="shared" si="14"/>
        <v>4</v>
      </c>
      <c r="O24" s="37">
        <f t="shared" si="14"/>
        <v>6</v>
      </c>
    </row>
    <row r="25" spans="1:15" ht="15.75">
      <c r="A25" s="79"/>
      <c r="B25" s="1" t="s">
        <v>51</v>
      </c>
      <c r="C25" s="1"/>
      <c r="D25" s="1"/>
      <c r="E25" s="1"/>
      <c r="F25" s="1"/>
      <c r="G25" s="1"/>
      <c r="H25" s="33"/>
      <c r="I25" s="61">
        <f>COUNTIF(I4:I13,"&gt;="&amp;$C$42)</f>
        <v>4</v>
      </c>
      <c r="J25" s="33">
        <f t="shared" ref="J25:O25" si="15">COUNTIF(J4:J13,"&gt;="&amp;$C$42)</f>
        <v>5</v>
      </c>
      <c r="K25" s="33">
        <f t="shared" si="15"/>
        <v>5</v>
      </c>
      <c r="L25" s="33">
        <f t="shared" si="15"/>
        <v>4</v>
      </c>
      <c r="M25" s="36">
        <f t="shared" si="15"/>
        <v>7</v>
      </c>
      <c r="N25" s="33">
        <f t="shared" si="15"/>
        <v>3</v>
      </c>
      <c r="O25" s="37">
        <f t="shared" si="15"/>
        <v>3</v>
      </c>
    </row>
    <row r="26" spans="1:15">
      <c r="A26" s="79"/>
      <c r="B26" s="17" t="s">
        <v>72</v>
      </c>
      <c r="C26" s="1" t="str">
        <f>B45</f>
        <v>סטודנטים</v>
      </c>
      <c r="D26" s="1"/>
      <c r="E26" s="1"/>
      <c r="F26" s="1"/>
      <c r="G26" s="1"/>
      <c r="H26" s="33"/>
      <c r="I26" s="33">
        <f>COUNTIFS($E$4:$E$13,$C45,I$4:I$13,"&gt;="&amp;$C$42)</f>
        <v>3</v>
      </c>
      <c r="J26" s="33">
        <f>COUNTIFS($E$4:$E$13,$C45,J$4:J$13,"&gt;="&amp;$C$42)</f>
        <v>2</v>
      </c>
      <c r="K26" s="33">
        <f>COUNTIFS($E$4:$E$13,$C45,K$4:K$13,"&gt;="&amp;$C$42)</f>
        <v>3</v>
      </c>
      <c r="L26" s="33">
        <f>COUNTIFS($E$4:$E$13,$C45,L$4:L$13,"&gt;="&amp;$C$42)</f>
        <v>3</v>
      </c>
      <c r="M26" s="36">
        <f>COUNTIFS($E$4:$E$13,$C45,M$4:M$13,"&gt;="&amp;$C$42)</f>
        <v>3</v>
      </c>
      <c r="N26" s="33">
        <f>COUNTIFS($E$4:$E$13,$C45,N$4:N$13,"&gt;="&amp;$C$42)</f>
        <v>0</v>
      </c>
      <c r="O26" s="37">
        <f>COUNTIFS($E$4:$E$13,$C45,O$4:O$13,"&gt;="&amp;$C$42)</f>
        <v>1</v>
      </c>
    </row>
    <row r="27" spans="1:15">
      <c r="A27" s="79"/>
      <c r="B27" s="56"/>
      <c r="C27" s="1" t="str">
        <f>B46</f>
        <v>סטודנטיות</v>
      </c>
      <c r="D27" s="56"/>
      <c r="E27" s="56"/>
      <c r="F27" s="56"/>
      <c r="G27" s="56"/>
      <c r="H27" s="33"/>
      <c r="I27" s="33">
        <f>COUNTIFS($E$4:$E$13,$C46,I$4:I$13,"&gt;="&amp;$C$42)</f>
        <v>1</v>
      </c>
      <c r="J27" s="33">
        <f>COUNTIFS($E$4:$E$13,$C46,J$4:J$13,"&gt;="&amp;$C$42)</f>
        <v>3</v>
      </c>
      <c r="K27" s="33">
        <f>COUNTIFS($E$4:$E$13,$C46,K$4:K$13,"&gt;="&amp;$C$42)</f>
        <v>2</v>
      </c>
      <c r="L27" s="33">
        <f>COUNTIFS($E$4:$E$13,$C46,L$4:L$13,"&gt;="&amp;$C$42)</f>
        <v>1</v>
      </c>
      <c r="M27" s="36">
        <f>COUNTIFS($E$4:$E$13,$C46,M$4:M$13,"&gt;="&amp;$C$42)</f>
        <v>4</v>
      </c>
      <c r="N27" s="33">
        <f>COUNTIFS($E$4:$E$13,$C46,N$4:N$13,"&gt;="&amp;$C$42)</f>
        <v>3</v>
      </c>
      <c r="O27" s="37">
        <f>COUNTIFS($E$4:$E$13,$C46,O$4:O$13,"&gt;="&amp;$C$42)</f>
        <v>2</v>
      </c>
    </row>
    <row r="28" spans="1:15">
      <c r="A28" s="79"/>
      <c r="B28" s="56" t="s">
        <v>36</v>
      </c>
      <c r="C28" s="56"/>
      <c r="D28" s="56">
        <f>COUNTA(C4:C13)</f>
        <v>10</v>
      </c>
      <c r="E28" s="56"/>
      <c r="F28" s="56"/>
      <c r="G28" s="57"/>
      <c r="H28" s="57" t="s">
        <v>73</v>
      </c>
      <c r="I28" s="34">
        <f>AVERAGEIFS(I4:I13,I4:I13,"&gt;="&amp;$C$41,I4:I13,"&lt;"&amp;$C$42)</f>
        <v>72</v>
      </c>
      <c r="J28" s="34">
        <f t="shared" ref="J28:O28" si="16">AVERAGEIFS(J4:J13,J4:J13,"&gt;="&amp;$C$41,J4:J13,"&lt;"&amp;$C$42)</f>
        <v>74.5</v>
      </c>
      <c r="K28" s="34">
        <f t="shared" si="16"/>
        <v>76.25</v>
      </c>
      <c r="L28" s="34">
        <f t="shared" si="16"/>
        <v>81.36666666666666</v>
      </c>
      <c r="M28" s="34">
        <f t="shared" si="16"/>
        <v>81</v>
      </c>
      <c r="N28" s="34">
        <f t="shared" si="16"/>
        <v>71.75</v>
      </c>
      <c r="O28" s="35">
        <f t="shared" si="16"/>
        <v>70.833333333333329</v>
      </c>
    </row>
    <row r="29" spans="1:15">
      <c r="A29" s="79"/>
      <c r="B29" s="17" t="s">
        <v>72</v>
      </c>
      <c r="C29" s="56" t="str">
        <f>B45</f>
        <v>סטודנטים</v>
      </c>
      <c r="D29" s="56">
        <f xml:space="preserve"> COUNTIF($E$4:$E$13,C45)</f>
        <v>4</v>
      </c>
      <c r="E29" s="56"/>
      <c r="F29" s="56"/>
      <c r="G29" s="58"/>
      <c r="H29" s="33" t="s">
        <v>74</v>
      </c>
      <c r="I29" s="34">
        <f>AVERAGEIF($E$4:$E$13,$C45,I$4:I$13)</f>
        <v>89.333333333333329</v>
      </c>
      <c r="J29" s="34">
        <f>AVERAGEIF($E$4:$E$13,$C45,J$4:J$13)</f>
        <v>83.5</v>
      </c>
      <c r="K29" s="34">
        <f>AVERAGEIF($E$4:$E$13,$C45,K$4:K$13)</f>
        <v>89.25</v>
      </c>
      <c r="L29" s="34">
        <f>AVERAGEIF($E$4:$E$13,$C45,L$4:L$13)</f>
        <v>87.333333333333329</v>
      </c>
      <c r="M29" s="34">
        <f>AVERAGEIF($E$4:$E$13,$C45,M$4:M$13)</f>
        <v>85</v>
      </c>
      <c r="N29" s="34">
        <f>AVERAGEIF($E$4:$E$13,$C45,N$4:N$13)</f>
        <v>60</v>
      </c>
      <c r="O29" s="35">
        <f>AVERAGEIF($E$4:$E$13,$C45,O$4:O$13)</f>
        <v>73.75</v>
      </c>
    </row>
    <row r="30" spans="1:15" ht="13.5" thickBot="1">
      <c r="A30" s="80"/>
      <c r="B30" s="2"/>
      <c r="C30" s="2" t="str">
        <f>B46</f>
        <v>סטודנטיות</v>
      </c>
      <c r="D30" s="2">
        <f xml:space="preserve"> COUNTIF($E$4:$E$13,C46)</f>
        <v>6</v>
      </c>
      <c r="E30" s="2"/>
      <c r="F30" s="2"/>
      <c r="G30" s="2"/>
      <c r="H30" s="38" t="s">
        <v>74</v>
      </c>
      <c r="I30" s="43">
        <f>AVERAGEIF($E$4:$E$13,$C46,I$4:I$13)</f>
        <v>71.166666666666671</v>
      </c>
      <c r="J30" s="43">
        <f>AVERAGEIF($E$4:$E$13,$C46,J$4:J$13)</f>
        <v>87.8</v>
      </c>
      <c r="K30" s="43">
        <f>AVERAGEIF($E$4:$E$13,$C46,K$4:K$13)</f>
        <v>82.2</v>
      </c>
      <c r="L30" s="43">
        <f>AVERAGEIF($E$4:$E$13,$C46,L$4:L$13)</f>
        <v>78.5</v>
      </c>
      <c r="M30" s="43">
        <f>AVERAGEIF($E$4:$E$13,$C46,M$4:M$13)</f>
        <v>82.5</v>
      </c>
      <c r="N30" s="43">
        <f>AVERAGEIF($E$4:$E$13,$C46,N$4:N$13)</f>
        <v>84.2</v>
      </c>
      <c r="O30" s="44">
        <f>AVERAGEIF($E$4:$E$13,$C46,O$4:O$13)</f>
        <v>74.166666666666671</v>
      </c>
    </row>
    <row r="31" spans="1:15" ht="14.25" thickTop="1" thickBot="1">
      <c r="A31"/>
      <c r="M31" s="20"/>
      <c r="N31" s="20"/>
    </row>
    <row r="32" spans="1:15" ht="13.5" thickTop="1">
      <c r="A32" s="70" t="s">
        <v>46</v>
      </c>
      <c r="B32" s="30" t="s">
        <v>26</v>
      </c>
      <c r="C32" s="39">
        <v>0.1</v>
      </c>
      <c r="M32" s="20"/>
      <c r="N32" s="20"/>
    </row>
    <row r="33" spans="1:17">
      <c r="A33" s="71"/>
      <c r="B33" s="33" t="s">
        <v>27</v>
      </c>
      <c r="C33" s="40">
        <v>0.1</v>
      </c>
      <c r="M33" s="20"/>
      <c r="N33" s="20"/>
    </row>
    <row r="34" spans="1:17">
      <c r="A34" s="71"/>
      <c r="B34" s="33" t="s">
        <v>28</v>
      </c>
      <c r="C34" s="40">
        <v>0.1</v>
      </c>
      <c r="M34" s="20"/>
      <c r="N34" s="20"/>
    </row>
    <row r="35" spans="1:17">
      <c r="A35" s="71"/>
      <c r="B35" s="33" t="s">
        <v>29</v>
      </c>
      <c r="C35" s="40">
        <v>0.3</v>
      </c>
      <c r="M35" s="20"/>
      <c r="N35" s="20"/>
    </row>
    <row r="36" spans="1:17">
      <c r="A36" s="71"/>
      <c r="B36" s="33" t="s">
        <v>30</v>
      </c>
      <c r="C36" s="40">
        <v>0.4</v>
      </c>
      <c r="M36" s="20"/>
      <c r="N36" s="20"/>
    </row>
    <row r="37" spans="1:17" ht="13.5" thickBot="1">
      <c r="A37" s="72"/>
      <c r="B37" s="38" t="s">
        <v>31</v>
      </c>
      <c r="C37" s="41">
        <f>SUM(C32:C36)</f>
        <v>1</v>
      </c>
      <c r="M37" s="20"/>
      <c r="N37" s="20"/>
    </row>
    <row r="38" spans="1:17" ht="12.75" customHeight="1" thickTop="1" thickBot="1">
      <c r="A38"/>
      <c r="M38" s="20"/>
      <c r="N38" s="20"/>
    </row>
    <row r="39" spans="1:17" ht="13.5" thickTop="1">
      <c r="A39" s="70" t="s">
        <v>47</v>
      </c>
      <c r="B39" s="30"/>
      <c r="C39" s="30" t="s">
        <v>76</v>
      </c>
      <c r="D39" s="42" t="s">
        <v>77</v>
      </c>
      <c r="M39" s="20"/>
    </row>
    <row r="40" spans="1:17">
      <c r="A40" s="71"/>
      <c r="B40" s="33" t="s">
        <v>32</v>
      </c>
      <c r="C40" s="34">
        <v>0</v>
      </c>
      <c r="D40" s="35">
        <v>59.5</v>
      </c>
      <c r="E40" s="22"/>
      <c r="F40" s="22"/>
      <c r="G40" s="22"/>
      <c r="M40" s="20"/>
      <c r="N40" s="23"/>
    </row>
    <row r="41" spans="1:17">
      <c r="A41" s="71"/>
      <c r="B41" s="33" t="s">
        <v>33</v>
      </c>
      <c r="C41" s="34">
        <f>D40</f>
        <v>59.5</v>
      </c>
      <c r="D41" s="35">
        <v>84.5</v>
      </c>
      <c r="E41" s="22"/>
      <c r="F41" s="22"/>
      <c r="G41" s="22"/>
      <c r="M41" s="20"/>
    </row>
    <row r="42" spans="1:17" ht="13.5" thickBot="1">
      <c r="A42" s="72"/>
      <c r="B42" s="38" t="s">
        <v>34</v>
      </c>
      <c r="C42" s="43">
        <f>D41</f>
        <v>84.5</v>
      </c>
      <c r="D42" s="44">
        <v>100</v>
      </c>
      <c r="E42" s="22" t="s">
        <v>75</v>
      </c>
      <c r="F42" s="22"/>
      <c r="G42" s="22"/>
      <c r="M42" s="20"/>
    </row>
    <row r="43" spans="1:17" ht="14.25" thickTop="1" thickBot="1">
      <c r="A43"/>
    </row>
    <row r="44" spans="1:17" ht="13.5" customHeight="1" thickTop="1">
      <c r="A44" s="70" t="s">
        <v>56</v>
      </c>
      <c r="B44" s="73" t="s">
        <v>8</v>
      </c>
      <c r="C44" s="74"/>
      <c r="M44" s="20"/>
      <c r="N44" s="20"/>
      <c r="P44" s="21"/>
      <c r="Q44" s="21"/>
    </row>
    <row r="45" spans="1:17">
      <c r="A45" s="71"/>
      <c r="B45" s="45" t="s">
        <v>54</v>
      </c>
      <c r="C45" s="83" t="s">
        <v>17</v>
      </c>
      <c r="M45" s="20"/>
      <c r="N45" s="20"/>
      <c r="P45" s="21"/>
      <c r="Q45" s="21"/>
    </row>
    <row r="46" spans="1:17" ht="13.5" thickBot="1">
      <c r="A46" s="71"/>
      <c r="B46" s="108" t="s">
        <v>55</v>
      </c>
      <c r="C46" s="109" t="s">
        <v>18</v>
      </c>
      <c r="M46" s="20"/>
      <c r="N46" s="20"/>
      <c r="P46" s="21"/>
      <c r="Q46" s="21"/>
    </row>
    <row r="47" spans="1:17">
      <c r="A47" s="71"/>
      <c r="B47" s="87" t="s">
        <v>52</v>
      </c>
      <c r="C47" s="88"/>
      <c r="M47" s="20"/>
      <c r="N47" s="20"/>
      <c r="P47" s="21"/>
      <c r="Q47" s="21"/>
    </row>
    <row r="48" spans="1:17">
      <c r="A48" s="71"/>
      <c r="B48" s="45" t="s">
        <v>53</v>
      </c>
      <c r="C48" s="83"/>
      <c r="M48" s="20"/>
      <c r="N48" s="20"/>
      <c r="P48" s="21"/>
      <c r="Q48" s="21"/>
    </row>
    <row r="49" spans="1:19" ht="13.5" thickBot="1">
      <c r="A49" s="72"/>
      <c r="B49" s="46" t="s">
        <v>0</v>
      </c>
      <c r="C49" s="107"/>
      <c r="M49" s="20"/>
      <c r="N49" s="20"/>
      <c r="P49" s="21"/>
      <c r="Q49" s="21"/>
    </row>
    <row r="50" spans="1:19" ht="14.25" thickTop="1" thickBot="1"/>
    <row r="51" spans="1:19" ht="13.5" customHeight="1" thickTop="1">
      <c r="A51" s="125" t="s">
        <v>66</v>
      </c>
      <c r="B51" s="129" t="s">
        <v>87</v>
      </c>
      <c r="C51" s="82" t="s">
        <v>88</v>
      </c>
      <c r="D51" s="130" t="s">
        <v>79</v>
      </c>
      <c r="E51" s="130" t="s">
        <v>89</v>
      </c>
      <c r="F51" s="112" t="s">
        <v>90</v>
      </c>
    </row>
    <row r="52" spans="1:19">
      <c r="A52" s="126"/>
      <c r="B52" s="131" t="s">
        <v>67</v>
      </c>
      <c r="C52" s="84">
        <v>4000</v>
      </c>
      <c r="D52" s="33">
        <f>COUNTIF(Q4:Q13,C52)</f>
        <v>2</v>
      </c>
      <c r="E52" s="84">
        <f t="shared" ref="E52:E53" si="17">D52*C52</f>
        <v>8000</v>
      </c>
      <c r="F52" s="62">
        <f>SUM(Q4:Q13)</f>
        <v>8000</v>
      </c>
    </row>
    <row r="53" spans="1:19">
      <c r="A53" s="126"/>
      <c r="B53" s="131" t="s">
        <v>68</v>
      </c>
      <c r="C53" s="134">
        <v>2000</v>
      </c>
      <c r="D53" s="33">
        <f>COUNTIF(R4:R13,C53)</f>
        <v>7</v>
      </c>
      <c r="E53" s="84">
        <f t="shared" si="17"/>
        <v>14000</v>
      </c>
      <c r="F53" s="62">
        <f>SUM(R4:R13)</f>
        <v>14000</v>
      </c>
    </row>
    <row r="54" spans="1:19">
      <c r="A54" s="126"/>
      <c r="B54" s="131" t="s">
        <v>65</v>
      </c>
      <c r="C54" s="110" t="s">
        <v>69</v>
      </c>
      <c r="D54" s="33">
        <f>COUNTIF(S4:S13,C54)</f>
        <v>9</v>
      </c>
      <c r="E54" s="132" t="e">
        <f>D54*C54</f>
        <v>#VALUE!</v>
      </c>
      <c r="F54" s="62">
        <f>SUM(S4:S13)</f>
        <v>0</v>
      </c>
    </row>
    <row r="55" spans="1:19" ht="13.5" thickBot="1">
      <c r="A55" s="126"/>
      <c r="B55" s="133" t="s">
        <v>81</v>
      </c>
      <c r="C55" s="111"/>
      <c r="D55" s="38">
        <f>COUNTIF(Q4:Q13,C52)+COUNTIF(R4:R13,C53)+COUNTIF(S4:S13,C54)</f>
        <v>18</v>
      </c>
      <c r="E55" s="38" t="e">
        <f>SUM(E52:E55)</f>
        <v>#VALUE!</v>
      </c>
      <c r="F55" s="63">
        <f>SUM(Q4:S13)</f>
        <v>22000</v>
      </c>
    </row>
    <row r="56" spans="1:19" ht="14.25" thickTop="1" thickBot="1">
      <c r="A56" s="126"/>
      <c r="B56" s="118" t="s">
        <v>78</v>
      </c>
      <c r="C56" s="89"/>
      <c r="D56" s="89"/>
      <c r="E56" s="89"/>
      <c r="F56" s="89"/>
      <c r="G56" s="89"/>
      <c r="H56" s="90"/>
      <c r="M56" s="20"/>
      <c r="N56" s="20"/>
      <c r="Q56" s="21"/>
      <c r="R56" s="21"/>
    </row>
    <row r="57" spans="1:19" ht="13.5" thickBot="1">
      <c r="A57" s="126"/>
      <c r="B57" s="119"/>
      <c r="C57" s="91" t="s">
        <v>79</v>
      </c>
      <c r="D57" s="92"/>
      <c r="E57" s="93"/>
      <c r="F57" s="91" t="s">
        <v>80</v>
      </c>
      <c r="G57" s="92"/>
      <c r="H57" s="94"/>
      <c r="M57" s="20"/>
      <c r="N57" s="20"/>
      <c r="R57" s="21"/>
      <c r="S57" s="21"/>
    </row>
    <row r="58" spans="1:19" ht="13.5" thickBot="1">
      <c r="A58" s="126"/>
      <c r="B58" s="120" t="s">
        <v>86</v>
      </c>
      <c r="C58" s="95" t="str">
        <f>B48</f>
        <v>שיווק</v>
      </c>
      <c r="D58" s="96" t="str">
        <f>B49</f>
        <v>חשבונאות</v>
      </c>
      <c r="E58" s="99" t="s">
        <v>81</v>
      </c>
      <c r="F58" s="95" t="str">
        <f>B48</f>
        <v>שיווק</v>
      </c>
      <c r="G58" s="96" t="str">
        <f>B49</f>
        <v>חשבונאות</v>
      </c>
      <c r="H58" s="97" t="s">
        <v>81</v>
      </c>
      <c r="M58" s="20"/>
      <c r="N58" s="20"/>
      <c r="R58" s="21"/>
      <c r="S58" s="21"/>
    </row>
    <row r="59" spans="1:19">
      <c r="A59" s="126"/>
      <c r="B59" s="121" t="s">
        <v>37</v>
      </c>
      <c r="C59" s="98"/>
      <c r="D59" s="60"/>
      <c r="E59" s="54"/>
      <c r="F59" s="98"/>
      <c r="G59" s="60"/>
      <c r="H59" s="100"/>
      <c r="M59" s="20"/>
      <c r="N59" s="20"/>
      <c r="R59" s="21"/>
      <c r="S59" s="21"/>
    </row>
    <row r="60" spans="1:19">
      <c r="A60" s="126"/>
      <c r="B60" s="122" t="s">
        <v>54</v>
      </c>
      <c r="C60" s="86"/>
      <c r="D60" s="33"/>
      <c r="E60" s="55">
        <f>SUM(C60:D60)</f>
        <v>0</v>
      </c>
      <c r="F60" s="86"/>
      <c r="G60" s="33"/>
      <c r="H60" s="62">
        <f t="shared" ref="H60:H62" si="18">SUM(F60:G60)</f>
        <v>0</v>
      </c>
      <c r="M60" s="20"/>
      <c r="N60" s="20"/>
      <c r="R60" s="21"/>
      <c r="S60" s="21"/>
    </row>
    <row r="61" spans="1:19">
      <c r="A61" s="126"/>
      <c r="B61" s="122" t="s">
        <v>55</v>
      </c>
      <c r="C61" s="86">
        <f>COUNTIFS($Q$4:$Q$13,$C$52,$H$4:$H$13,C58)</f>
        <v>1</v>
      </c>
      <c r="D61" s="33">
        <f>COUNTIFS($Q$4:$Q$13,$C$52,$H$4:$H$13,D58)</f>
        <v>1</v>
      </c>
      <c r="E61" s="55">
        <f t="shared" ref="E61:E62" si="19">SUM(C61:D61)</f>
        <v>2</v>
      </c>
      <c r="F61" s="85">
        <f>SUMIF($H$4:$H$13,F58,$Q$4:$Q$13)</f>
        <v>4000</v>
      </c>
      <c r="G61" s="84">
        <f>SUMIF($H$4:$H$13,G58,$Q$4:$Q$13)</f>
        <v>4000</v>
      </c>
      <c r="H61" s="62">
        <f t="shared" si="18"/>
        <v>8000</v>
      </c>
      <c r="M61" s="20"/>
      <c r="N61" s="20"/>
      <c r="R61" s="21"/>
      <c r="S61" s="21"/>
    </row>
    <row r="62" spans="1:19" ht="13.5" thickBot="1">
      <c r="A62" s="126"/>
      <c r="B62" s="123" t="s">
        <v>85</v>
      </c>
      <c r="C62" s="101">
        <f>SUM(C60:C61)</f>
        <v>1</v>
      </c>
      <c r="D62" s="102">
        <f t="shared" ref="D62" si="20">SUM(D60:D61)</f>
        <v>1</v>
      </c>
      <c r="E62" s="103">
        <f t="shared" si="19"/>
        <v>2</v>
      </c>
      <c r="F62" s="104">
        <f>SUM(F60:F61)</f>
        <v>4000</v>
      </c>
      <c r="G62" s="105">
        <f t="shared" ref="G62" si="21">SUM(G60:G61)</f>
        <v>4000</v>
      </c>
      <c r="H62" s="106">
        <f t="shared" si="18"/>
        <v>8000</v>
      </c>
      <c r="M62" s="20"/>
      <c r="N62" s="20"/>
      <c r="R62" s="21"/>
      <c r="S62" s="21"/>
    </row>
    <row r="63" spans="1:19">
      <c r="A63" s="126"/>
      <c r="B63" s="121" t="s">
        <v>38</v>
      </c>
      <c r="C63" s="98"/>
      <c r="D63" s="60"/>
      <c r="E63" s="54"/>
      <c r="F63" s="98"/>
      <c r="G63" s="60"/>
      <c r="H63" s="100"/>
      <c r="M63" s="20"/>
      <c r="N63" s="20"/>
      <c r="R63" s="21"/>
      <c r="S63" s="21"/>
    </row>
    <row r="64" spans="1:19">
      <c r="A64" s="126"/>
      <c r="B64" s="122" t="s">
        <v>54</v>
      </c>
      <c r="C64" s="86">
        <f>COUNTIFS($R$4:$R$13,$C$53,$E$4:$E$13,$C$45,$H$4:$H$13,B48)</f>
        <v>1</v>
      </c>
      <c r="D64" s="33">
        <f>COUNTIFS($R$4:$R$13,$C$53,$E$4:$E$13,$C$45,$H$4:$H$13,B49)</f>
        <v>0</v>
      </c>
      <c r="E64" s="55">
        <f t="shared" ref="E64:E66" si="22">SUM(C64:D64)</f>
        <v>1</v>
      </c>
      <c r="F64" s="85">
        <f>SUMIFS($R$4:$R$13,$E$4:$E$13,$C45,$H$4:$H$13,F$58)</f>
        <v>2000</v>
      </c>
      <c r="G64" s="84">
        <f>SUMIFS($R$4:$R$13,$E$4:$E$13,$C45,$H$4:$H$13,G$58)</f>
        <v>0</v>
      </c>
      <c r="H64" s="62">
        <f t="shared" ref="H64:H66" si="23">SUM(F64:G64)</f>
        <v>2000</v>
      </c>
      <c r="M64" s="20"/>
      <c r="N64" s="20"/>
      <c r="R64" s="21"/>
      <c r="S64" s="21"/>
    </row>
    <row r="65" spans="1:19">
      <c r="A65" s="126"/>
      <c r="B65" s="122" t="s">
        <v>55</v>
      </c>
      <c r="C65" s="86">
        <f>COUNTIFS($R$4:$R$13,$C$53,$E$4:$E$13,$C$46,$H$4:$H$13,B48)</f>
        <v>3</v>
      </c>
      <c r="D65" s="33">
        <f>COUNTIFS($R$4:$R$13,$C$53,$E$4:$E$13,$C$46,$H$4:$H$13,B49)</f>
        <v>3</v>
      </c>
      <c r="E65" s="55">
        <f t="shared" si="22"/>
        <v>6</v>
      </c>
      <c r="F65" s="85">
        <f>SUMIFS($R$4:$R$13,$E$4:$E$13,$C46,$H$4:$H$13,F$58)</f>
        <v>6000</v>
      </c>
      <c r="G65" s="84">
        <f>SUMIFS($R$4:$R$13,$E$4:$E$13,$C46,$H$4:$H$13,G$58)</f>
        <v>6000</v>
      </c>
      <c r="H65" s="62">
        <f t="shared" si="23"/>
        <v>12000</v>
      </c>
      <c r="M65" s="20"/>
      <c r="N65" s="20"/>
      <c r="R65" s="21"/>
      <c r="S65" s="21"/>
    </row>
    <row r="66" spans="1:19" ht="13.5" thickBot="1">
      <c r="A66" s="126"/>
      <c r="B66" s="123" t="s">
        <v>85</v>
      </c>
      <c r="C66" s="101">
        <f>SUM(C64:C65)</f>
        <v>4</v>
      </c>
      <c r="D66" s="102">
        <f t="shared" ref="D66" si="24">SUM(D64:D65)</f>
        <v>3</v>
      </c>
      <c r="E66" s="103">
        <f t="shared" si="22"/>
        <v>7</v>
      </c>
      <c r="F66" s="104">
        <f>SUM(F64:F65)</f>
        <v>8000</v>
      </c>
      <c r="G66" s="105">
        <f t="shared" ref="G66" si="25">SUM(G64:G65)</f>
        <v>6000</v>
      </c>
      <c r="H66" s="106">
        <f t="shared" si="23"/>
        <v>14000</v>
      </c>
      <c r="M66" s="20"/>
      <c r="N66" s="20"/>
      <c r="R66" s="21"/>
      <c r="S66" s="21"/>
    </row>
    <row r="67" spans="1:19">
      <c r="A67" s="127"/>
      <c r="B67" s="121" t="s">
        <v>65</v>
      </c>
      <c r="C67" s="86"/>
      <c r="D67" s="33"/>
      <c r="E67" s="55"/>
      <c r="F67" s="86"/>
      <c r="G67" s="33"/>
      <c r="H67" s="37"/>
      <c r="M67" s="20"/>
      <c r="N67" s="20"/>
      <c r="R67" s="21"/>
      <c r="S67" s="21"/>
    </row>
    <row r="68" spans="1:19">
      <c r="A68" s="127"/>
      <c r="B68" s="122" t="s">
        <v>54</v>
      </c>
      <c r="C68" s="86">
        <f>COUNTIFS($S$4:$S$13,$C$54,$E$4:$E$13,$C$45,$H$4:$H$13,B48)</f>
        <v>2</v>
      </c>
      <c r="D68" s="33">
        <f>COUNTIFS($S$4:$S$13,$C$54,$E$4:$E$13,$C$45,$H$4:$H$13,B49)</f>
        <v>2</v>
      </c>
      <c r="E68" s="55">
        <f t="shared" ref="E68:E71" si="26">SUM(C68:D68)</f>
        <v>4</v>
      </c>
      <c r="F68" s="85">
        <f>SUMIFS($S$4:$S$13,$E$4:$E$13,$C45,$H$4:$H$13,F$58)</f>
        <v>0</v>
      </c>
      <c r="G68" s="84">
        <f>SUMIFS($S$4:$S$13,$E$4:$E$13,$C45,$H$4:$H$13,G$58)</f>
        <v>0</v>
      </c>
      <c r="H68" s="62">
        <f t="shared" ref="H68:H71" si="27">SUM(F68:G68)</f>
        <v>0</v>
      </c>
      <c r="M68" s="20"/>
      <c r="N68" s="20"/>
      <c r="R68" s="21"/>
      <c r="S68" s="21"/>
    </row>
    <row r="69" spans="1:19">
      <c r="A69" s="127"/>
      <c r="B69" s="122" t="s">
        <v>55</v>
      </c>
      <c r="C69" s="86">
        <f>COUNTIFS($S$4:$S$13,$C$54,$E$4:$E$13,$C$46,$H$4:$H$13,B48)</f>
        <v>2</v>
      </c>
      <c r="D69" s="33">
        <f>COUNTIFS($S$4:$S$13,$C$54,$E$4:$E$13,$C$46,$H$4:$H$13,B49)</f>
        <v>3</v>
      </c>
      <c r="E69" s="55">
        <f t="shared" si="26"/>
        <v>5</v>
      </c>
      <c r="F69" s="85">
        <f>SUMIFS($S$4:$S$13,$E$4:$E$13,$C46,$H$4:$H$13,F$58)</f>
        <v>0</v>
      </c>
      <c r="G69" s="84">
        <f>SUMIFS($S$4:$S$13,$E$4:$E$13,$C46,$H$4:$H$13,G$58)</f>
        <v>0</v>
      </c>
      <c r="H69" s="62">
        <f t="shared" si="27"/>
        <v>0</v>
      </c>
      <c r="M69" s="20"/>
      <c r="N69" s="20"/>
      <c r="R69" s="21"/>
      <c r="S69" s="21"/>
    </row>
    <row r="70" spans="1:19" ht="13.5" thickBot="1">
      <c r="A70" s="127"/>
      <c r="B70" s="123" t="s">
        <v>85</v>
      </c>
      <c r="C70" s="101">
        <f>SUM(C68:C69)</f>
        <v>4</v>
      </c>
      <c r="D70" s="102">
        <f>SUM(D68:D69)</f>
        <v>5</v>
      </c>
      <c r="E70" s="103">
        <f t="shared" si="26"/>
        <v>9</v>
      </c>
      <c r="F70" s="104">
        <f>SUM(F68:F69)</f>
        <v>0</v>
      </c>
      <c r="G70" s="105">
        <f>SUM(G68:G69)</f>
        <v>0</v>
      </c>
      <c r="H70" s="106">
        <f t="shared" si="27"/>
        <v>0</v>
      </c>
      <c r="M70" s="20"/>
      <c r="N70" s="20"/>
      <c r="R70" s="21"/>
      <c r="S70" s="21"/>
    </row>
    <row r="71" spans="1:19" ht="13.5" thickBot="1">
      <c r="A71" s="128"/>
      <c r="B71" s="124" t="s">
        <v>81</v>
      </c>
      <c r="C71" s="115">
        <f>SUM(C62,C66,C70)</f>
        <v>9</v>
      </c>
      <c r="D71" s="113">
        <f>SUM(D62,D66,D70)</f>
        <v>9</v>
      </c>
      <c r="E71" s="116">
        <f t="shared" si="26"/>
        <v>18</v>
      </c>
      <c r="F71" s="117">
        <f>SUM(F62,F66,F70)</f>
        <v>12000</v>
      </c>
      <c r="G71" s="113">
        <f>SUM(G62,G66,G70)</f>
        <v>10000</v>
      </c>
      <c r="H71" s="114">
        <f t="shared" si="27"/>
        <v>22000</v>
      </c>
      <c r="M71" s="20"/>
      <c r="N71" s="20"/>
      <c r="R71" s="21"/>
      <c r="S71" s="21"/>
    </row>
    <row r="72" spans="1:19" ht="13.5" thickTop="1"/>
  </sheetData>
  <mergeCells count="12">
    <mergeCell ref="A51:A71"/>
    <mergeCell ref="B44:C44"/>
    <mergeCell ref="C57:E57"/>
    <mergeCell ref="B56:H56"/>
    <mergeCell ref="F57:H57"/>
    <mergeCell ref="A1:U1"/>
    <mergeCell ref="A3:A13"/>
    <mergeCell ref="A15:A30"/>
    <mergeCell ref="A32:A37"/>
    <mergeCell ref="A39:A42"/>
    <mergeCell ref="A44:A49"/>
    <mergeCell ref="B47:C47"/>
  </mergeCells>
  <conditionalFormatting sqref="B4:B13">
    <cfRule type="duplicateValues" dxfId="17" priority="8"/>
  </conditionalFormatting>
  <conditionalFormatting sqref="L4:L1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{5363AEDB-431F-433C-B68B-5F9AADC6FAA0}</x14:id>
        </ext>
      </extLst>
    </cfRule>
  </conditionalFormatting>
  <conditionalFormatting sqref="O4:O13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cellIs" dxfId="16" priority="3" operator="equal">
      <formula>$B$40</formula>
    </cfRule>
    <cfRule type="cellIs" dxfId="15" priority="4" operator="equal">
      <formula>$B$41</formula>
    </cfRule>
    <cfRule type="cellIs" dxfId="14" priority="5" operator="equal">
      <formula>$B$42</formula>
    </cfRule>
  </conditionalFormatting>
  <conditionalFormatting sqref="B4:S13">
    <cfRule type="expression" dxfId="13" priority="2">
      <formula>$P4=$B$40</formula>
    </cfRule>
  </conditionalFormatting>
  <conditionalFormatting sqref="T4:U13">
    <cfRule type="expression" dxfId="12" priority="1">
      <formula>$P4=$B$40</formula>
    </cfRule>
  </conditionalFormatting>
  <dataValidations count="2">
    <dataValidation type="whole" allowBlank="1" showInputMessage="1" showErrorMessage="1" sqref="M4:N13 I4:K13">
      <formula1>$C$40</formula1>
      <formula2>$D$42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E4:E13">
      <formula1>$F$45:$F$49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  <ignoredErrors>
    <ignoredError sqref="E62 E66 E70:E71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63AEDB-431F-433C-B68B-5F9AADC6FAA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L4:L13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rightToLeft="1" workbookViewId="0"/>
  </sheetViews>
  <sheetFormatPr defaultRowHeight="12.75"/>
  <cols>
    <col min="1" max="1" width="9.140625" style="20"/>
    <col min="2" max="2" width="10.42578125" style="20" bestFit="1" customWidth="1"/>
    <col min="3" max="3" width="9.28515625" style="20" bestFit="1" customWidth="1"/>
    <col min="4" max="16384" width="9.140625" style="20"/>
  </cols>
  <sheetData>
    <row r="1" spans="1:3">
      <c r="A1" s="68" t="s">
        <v>82</v>
      </c>
      <c r="B1" s="68" t="s">
        <v>77</v>
      </c>
      <c r="C1" s="68" t="s">
        <v>83</v>
      </c>
    </row>
    <row r="6" spans="1:3">
      <c r="A6" s="68" t="s">
        <v>82</v>
      </c>
      <c r="B6" s="68" t="s">
        <v>77</v>
      </c>
      <c r="C6" s="68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rightToLeft="1" workbookViewId="0"/>
  </sheetViews>
  <sheetFormatPr defaultRowHeight="12.75"/>
  <cols>
    <col min="1" max="1" width="9.140625" style="20"/>
    <col min="2" max="2" width="10.140625" style="20" bestFit="1" customWidth="1"/>
    <col min="3" max="16384" width="9.140625" style="20"/>
  </cols>
  <sheetData>
    <row r="1" spans="1:3">
      <c r="A1" s="68" t="s">
        <v>82</v>
      </c>
      <c r="B1" s="68" t="s">
        <v>77</v>
      </c>
      <c r="C1" s="68" t="s">
        <v>83</v>
      </c>
    </row>
    <row r="2" spans="1:3">
      <c r="A2" s="20">
        <v>0</v>
      </c>
      <c r="B2" s="20">
        <v>100</v>
      </c>
      <c r="C2" s="20">
        <f ca="1">RAND()*(B2-A2)+A2</f>
        <v>1.2969736329743298</v>
      </c>
    </row>
    <row r="3" spans="1:3">
      <c r="A3" s="20">
        <v>60</v>
      </c>
      <c r="B3" s="20">
        <v>80</v>
      </c>
      <c r="C3" s="20">
        <f ca="1">INT(RAND()*(B3-A3)+A3)</f>
        <v>62</v>
      </c>
    </row>
    <row r="6" spans="1:3">
      <c r="A6" s="68" t="s">
        <v>82</v>
      </c>
      <c r="B6" s="68" t="s">
        <v>84</v>
      </c>
      <c r="C6" s="68" t="s">
        <v>83</v>
      </c>
    </row>
    <row r="7" spans="1:3">
      <c r="A7" s="20">
        <v>10</v>
      </c>
      <c r="B7" s="20">
        <v>25</v>
      </c>
      <c r="C7" s="20">
        <f ca="1">INT(RAND()*(B7-A7+1)+A7)</f>
        <v>10</v>
      </c>
    </row>
    <row r="8" spans="1:3">
      <c r="A8" s="20">
        <v>10</v>
      </c>
      <c r="B8" s="20">
        <v>25</v>
      </c>
      <c r="C8" s="20">
        <v>17</v>
      </c>
    </row>
    <row r="9" spans="1:3">
      <c r="A9" s="20">
        <v>10</v>
      </c>
      <c r="B9" s="20">
        <v>100</v>
      </c>
      <c r="C9" s="69">
        <f ca="1">RANDBETWEEN(A9,B9)</f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1-18</vt:lpstr>
      <vt:lpstr>19-30</vt:lpstr>
      <vt:lpstr>פתרון 1-30</vt:lpstr>
      <vt:lpstr>31-35</vt:lpstr>
      <vt:lpstr>פתרון 31-35</vt:lpstr>
    </vt:vector>
  </TitlesOfParts>
  <Company>pc2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שי שקרוב</dc:creator>
  <cp:lastModifiedBy>Shy Shakarov</cp:lastModifiedBy>
  <dcterms:created xsi:type="dcterms:W3CDTF">2001-05-22T06:09:44Z</dcterms:created>
  <dcterms:modified xsi:type="dcterms:W3CDTF">2017-09-26T15:39:08Z</dcterms:modified>
</cp:coreProperties>
</file>