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comments5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ייעוץ עסקי והדרכה\_הדרכה\טריילוג\תכנים\"/>
    </mc:Choice>
  </mc:AlternateContent>
  <bookViews>
    <workbookView xWindow="-450" yWindow="-15" windowWidth="9690" windowHeight="6285" tabRatio="804"/>
  </bookViews>
  <sheets>
    <sheet name="1" sheetId="108" r:id="rId1"/>
    <sheet name="פתרון 1" sheetId="110" r:id="rId2"/>
    <sheet name="2-3" sheetId="107" r:id="rId3"/>
    <sheet name="פתרון 2-3" sheetId="105" r:id="rId4"/>
    <sheet name="Madad" sheetId="106" r:id="rId5"/>
    <sheet name="4-5" sheetId="123" r:id="rId6"/>
    <sheet name="פתרון 4-5" sheetId="122" r:id="rId7"/>
    <sheet name="6" sheetId="125" r:id="rId8"/>
    <sheet name="פתרון 6" sheetId="124" r:id="rId9"/>
    <sheet name="7-9" sheetId="104" r:id="rId10"/>
    <sheet name="פתרון 7-9" sheetId="102" r:id="rId11"/>
    <sheet name="10-15" sheetId="112" r:id="rId12"/>
    <sheet name="פתרון 10-15" sheetId="121" r:id="rId13"/>
    <sheet name="16" sheetId="130" r:id="rId14"/>
    <sheet name="פתרון 16" sheetId="131" r:id="rId15"/>
    <sheet name="17-38" sheetId="126" r:id="rId16"/>
    <sheet name="פתרון 17-37" sheetId="127" r:id="rId17"/>
    <sheet name="פתרון 38" sheetId="132" r:id="rId18"/>
  </sheets>
  <definedNames>
    <definedName name="_xlnm._FilterDatabase" localSheetId="13" hidden="1">'16'!$B$3:$R$13</definedName>
    <definedName name="_xlnm._FilterDatabase" localSheetId="5" hidden="1">'4-5'!$A$9:$D$508</definedName>
    <definedName name="_xlnm._FilterDatabase" localSheetId="7" hidden="1">'6'!$A$9:$C$9</definedName>
    <definedName name="_xlnm._FilterDatabase" localSheetId="9" hidden="1">'7-9'!$B$3:$R$13</definedName>
    <definedName name="_xlnm._FilterDatabase" localSheetId="14" hidden="1">'פתרון 16'!$B$3:$R$13</definedName>
    <definedName name="_xlnm._FilterDatabase" localSheetId="6" hidden="1">'פתרון 4-5'!$A$9:$D$508</definedName>
    <definedName name="_xlnm._FilterDatabase" localSheetId="8" hidden="1">'פתרון 6'!$A$9:$C$9</definedName>
    <definedName name="_xlnm._FilterDatabase" localSheetId="10" hidden="1">'פתרון 7-9'!$B$3:$R$13</definedName>
    <definedName name="HTML_CodePage" hidden="1">1255</definedName>
    <definedName name="HTML_Control" localSheetId="13" hidden="1">{"'כל המועדים'!$G$6:$I$12"}</definedName>
    <definedName name="HTML_Control" localSheetId="2" hidden="1">{"'כל המועדים'!$G$6:$I$12"}</definedName>
    <definedName name="HTML_Control" localSheetId="9" hidden="1">{"'כל המועדים'!$G$6:$I$12"}</definedName>
    <definedName name="HTML_Control" localSheetId="14" hidden="1">{"'כל המועדים'!$G$6:$I$12"}</definedName>
    <definedName name="HTML_Control" localSheetId="3" hidden="1">{"'כל המועדים'!$G$6:$I$12"}</definedName>
    <definedName name="HTML_Control" localSheetId="10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</definedNames>
  <calcPr calcId="152511"/>
  <pivotCaches>
    <pivotCache cacheId="4" r:id="rId19"/>
    <pivotCache cacheId="14" r:id="rId20"/>
    <pivotCache cacheId="19" r:id="rId21"/>
  </pivotCaches>
</workbook>
</file>

<file path=xl/calcChain.xml><?xml version="1.0" encoding="utf-8"?>
<calcChain xmlns="http://schemas.openxmlformats.org/spreadsheetml/2006/main">
  <c r="C42" i="131" l="1"/>
  <c r="M28" i="131" s="1"/>
  <c r="R39" i="131"/>
  <c r="R38" i="131"/>
  <c r="C37" i="131"/>
  <c r="R32" i="131"/>
  <c r="M30" i="131"/>
  <c r="L30" i="131"/>
  <c r="J30" i="131"/>
  <c r="I30" i="131"/>
  <c r="H30" i="131"/>
  <c r="D30" i="131"/>
  <c r="C30" i="131"/>
  <c r="M29" i="131"/>
  <c r="L29" i="131"/>
  <c r="J29" i="131"/>
  <c r="I29" i="131"/>
  <c r="H29" i="131"/>
  <c r="D29" i="131"/>
  <c r="C29" i="131"/>
  <c r="J28" i="131"/>
  <c r="D28" i="131"/>
  <c r="P27" i="131"/>
  <c r="M27" i="131"/>
  <c r="L27" i="131"/>
  <c r="J27" i="131"/>
  <c r="I27" i="131"/>
  <c r="H27" i="131"/>
  <c r="C27" i="131"/>
  <c r="L26" i="131"/>
  <c r="H26" i="131"/>
  <c r="C26" i="131"/>
  <c r="L25" i="131"/>
  <c r="H25" i="131"/>
  <c r="P24" i="131"/>
  <c r="L24" i="131"/>
  <c r="H24" i="131"/>
  <c r="M23" i="131"/>
  <c r="L23" i="131"/>
  <c r="J23" i="131"/>
  <c r="I23" i="131"/>
  <c r="H23" i="131"/>
  <c r="M22" i="131"/>
  <c r="L22" i="131"/>
  <c r="J22" i="131"/>
  <c r="I22" i="131"/>
  <c r="H22" i="131"/>
  <c r="M21" i="131"/>
  <c r="L21" i="131"/>
  <c r="J21" i="131"/>
  <c r="I21" i="131"/>
  <c r="H21" i="131"/>
  <c r="M20" i="131"/>
  <c r="L20" i="131"/>
  <c r="J20" i="131"/>
  <c r="I20" i="131"/>
  <c r="H20" i="131"/>
  <c r="M19" i="131"/>
  <c r="L19" i="131"/>
  <c r="J19" i="131"/>
  <c r="I19" i="131"/>
  <c r="H19" i="131"/>
  <c r="M18" i="131"/>
  <c r="L18" i="131"/>
  <c r="J18" i="131"/>
  <c r="I18" i="131"/>
  <c r="H18" i="131"/>
  <c r="M17" i="131"/>
  <c r="L17" i="131"/>
  <c r="J17" i="131"/>
  <c r="I17" i="131"/>
  <c r="H17" i="131"/>
  <c r="M16" i="131"/>
  <c r="L16" i="131"/>
  <c r="J16" i="131"/>
  <c r="I16" i="131"/>
  <c r="H16" i="131"/>
  <c r="M15" i="131"/>
  <c r="L15" i="131"/>
  <c r="J15" i="131"/>
  <c r="I15" i="131"/>
  <c r="H15" i="131"/>
  <c r="N13" i="131"/>
  <c r="O13" i="131" s="1"/>
  <c r="K13" i="131"/>
  <c r="N12" i="131"/>
  <c r="R12" i="131" s="1"/>
  <c r="K12" i="131"/>
  <c r="N11" i="131"/>
  <c r="O11" i="131" s="1"/>
  <c r="K11" i="131"/>
  <c r="O10" i="131"/>
  <c r="Q10" i="131" s="1"/>
  <c r="N10" i="131"/>
  <c r="R10" i="131" s="1"/>
  <c r="K10" i="131"/>
  <c r="N9" i="131"/>
  <c r="O9" i="131" s="1"/>
  <c r="K9" i="131"/>
  <c r="N8" i="131"/>
  <c r="R8" i="131" s="1"/>
  <c r="K8" i="131"/>
  <c r="N7" i="131"/>
  <c r="O7" i="131" s="1"/>
  <c r="K7" i="131"/>
  <c r="N6" i="131"/>
  <c r="R6" i="131" s="1"/>
  <c r="K6" i="131"/>
  <c r="N5" i="131"/>
  <c r="N27" i="131" s="1"/>
  <c r="K5" i="131"/>
  <c r="N4" i="131"/>
  <c r="K4" i="131"/>
  <c r="C42" i="130"/>
  <c r="L28" i="130" s="1"/>
  <c r="R40" i="130"/>
  <c r="R39" i="130"/>
  <c r="R38" i="130"/>
  <c r="C37" i="130"/>
  <c r="R32" i="130"/>
  <c r="M30" i="130"/>
  <c r="L30" i="130"/>
  <c r="J30" i="130"/>
  <c r="I30" i="130"/>
  <c r="H30" i="130"/>
  <c r="D30" i="130"/>
  <c r="C30" i="130"/>
  <c r="M29" i="130"/>
  <c r="L29" i="130"/>
  <c r="J29" i="130"/>
  <c r="I29" i="130"/>
  <c r="H29" i="130"/>
  <c r="D29" i="130"/>
  <c r="C29" i="130"/>
  <c r="M28" i="130"/>
  <c r="I28" i="130"/>
  <c r="H28" i="130"/>
  <c r="D28" i="130"/>
  <c r="P27" i="130"/>
  <c r="M27" i="130"/>
  <c r="L27" i="130"/>
  <c r="J27" i="130"/>
  <c r="I27" i="130"/>
  <c r="H27" i="130"/>
  <c r="C27" i="130"/>
  <c r="J26" i="130"/>
  <c r="I26" i="130"/>
  <c r="C26" i="130"/>
  <c r="M25" i="130"/>
  <c r="L25" i="130"/>
  <c r="H25" i="130"/>
  <c r="P24" i="130"/>
  <c r="J24" i="130"/>
  <c r="I24" i="130"/>
  <c r="M23" i="130"/>
  <c r="L23" i="130"/>
  <c r="J23" i="130"/>
  <c r="I23" i="130"/>
  <c r="H23" i="130"/>
  <c r="M22" i="130"/>
  <c r="L22" i="130"/>
  <c r="J22" i="130"/>
  <c r="I22" i="130"/>
  <c r="H22" i="130"/>
  <c r="M21" i="130"/>
  <c r="L21" i="130"/>
  <c r="J21" i="130"/>
  <c r="I21" i="130"/>
  <c r="H21" i="130"/>
  <c r="M20" i="130"/>
  <c r="L20" i="130"/>
  <c r="J20" i="130"/>
  <c r="I20" i="130"/>
  <c r="H20" i="130"/>
  <c r="M19" i="130"/>
  <c r="L19" i="130"/>
  <c r="J19" i="130"/>
  <c r="I19" i="130"/>
  <c r="H19" i="130"/>
  <c r="M18" i="130"/>
  <c r="L18" i="130"/>
  <c r="J18" i="130"/>
  <c r="I18" i="130"/>
  <c r="H18" i="130"/>
  <c r="M17" i="130"/>
  <c r="L17" i="130"/>
  <c r="J17" i="130"/>
  <c r="I17" i="130"/>
  <c r="H17" i="130"/>
  <c r="M16" i="130"/>
  <c r="L16" i="130"/>
  <c r="J16" i="130"/>
  <c r="I16" i="130"/>
  <c r="H16" i="130"/>
  <c r="M15" i="130"/>
  <c r="L15" i="130"/>
  <c r="J15" i="130"/>
  <c r="I15" i="130"/>
  <c r="H15" i="130"/>
  <c r="N13" i="130"/>
  <c r="K13" i="130"/>
  <c r="O12" i="130"/>
  <c r="Q12" i="130" s="1"/>
  <c r="N12" i="130"/>
  <c r="R12" i="130" s="1"/>
  <c r="K12" i="130"/>
  <c r="N11" i="130"/>
  <c r="O11" i="130" s="1"/>
  <c r="K11" i="130"/>
  <c r="N10" i="130"/>
  <c r="R10" i="130" s="1"/>
  <c r="K10" i="130"/>
  <c r="N9" i="130"/>
  <c r="O9" i="130" s="1"/>
  <c r="K9" i="130"/>
  <c r="N8" i="130"/>
  <c r="R8" i="130" s="1"/>
  <c r="K8" i="130"/>
  <c r="N7" i="130"/>
  <c r="K7" i="130"/>
  <c r="N6" i="130"/>
  <c r="R6" i="130" s="1"/>
  <c r="K6" i="130"/>
  <c r="N5" i="130"/>
  <c r="N23" i="130" s="1"/>
  <c r="K5" i="130"/>
  <c r="O4" i="130"/>
  <c r="Q4" i="130" s="1"/>
  <c r="N4" i="130"/>
  <c r="K4" i="130"/>
  <c r="K30" i="130" l="1"/>
  <c r="I25" i="130"/>
  <c r="J28" i="130"/>
  <c r="N15" i="130"/>
  <c r="O6" i="130"/>
  <c r="Q6" i="130" s="1"/>
  <c r="N19" i="130"/>
  <c r="N28" i="130"/>
  <c r="K21" i="130"/>
  <c r="N27" i="130"/>
  <c r="K26" i="130"/>
  <c r="O8" i="130"/>
  <c r="P8" i="130" s="1"/>
  <c r="O13" i="130"/>
  <c r="P13" i="130" s="1"/>
  <c r="L24" i="130"/>
  <c r="L26" i="130"/>
  <c r="O7" i="130"/>
  <c r="O10" i="130"/>
  <c r="Q10" i="130" s="1"/>
  <c r="H24" i="130"/>
  <c r="M24" i="130"/>
  <c r="J25" i="130"/>
  <c r="H26" i="130"/>
  <c r="M26" i="130"/>
  <c r="K21" i="131"/>
  <c r="N19" i="131"/>
  <c r="K30" i="131"/>
  <c r="O6" i="131"/>
  <c r="Q6" i="131" s="1"/>
  <c r="K26" i="131"/>
  <c r="O8" i="131"/>
  <c r="Q8" i="131" s="1"/>
  <c r="N23" i="131"/>
  <c r="O4" i="131"/>
  <c r="Q4" i="131" s="1"/>
  <c r="O12" i="131"/>
  <c r="Q12" i="131" s="1"/>
  <c r="N15" i="131"/>
  <c r="N28" i="131"/>
  <c r="R40" i="131"/>
  <c r="R37" i="131"/>
  <c r="P7" i="131"/>
  <c r="Q7" i="131"/>
  <c r="P9" i="131"/>
  <c r="Q9" i="131"/>
  <c r="P11" i="131"/>
  <c r="Q11" i="131"/>
  <c r="P13" i="131"/>
  <c r="Q13" i="131"/>
  <c r="K20" i="131"/>
  <c r="K24" i="131"/>
  <c r="K25" i="131"/>
  <c r="K27" i="131"/>
  <c r="R5" i="131"/>
  <c r="R9" i="131"/>
  <c r="P10" i="131"/>
  <c r="R13" i="131"/>
  <c r="K15" i="131"/>
  <c r="N18" i="131"/>
  <c r="K19" i="131"/>
  <c r="K23" i="131"/>
  <c r="K18" i="131"/>
  <c r="N21" i="131"/>
  <c r="I24" i="131"/>
  <c r="I25" i="131"/>
  <c r="M26" i="131"/>
  <c r="H28" i="131"/>
  <c r="L28" i="131"/>
  <c r="K29" i="131"/>
  <c r="N30" i="131"/>
  <c r="K16" i="131"/>
  <c r="R7" i="131"/>
  <c r="P8" i="131"/>
  <c r="R11" i="131"/>
  <c r="P12" i="131"/>
  <c r="N22" i="131"/>
  <c r="K28" i="131"/>
  <c r="N29" i="131"/>
  <c r="O5" i="131"/>
  <c r="N17" i="131"/>
  <c r="K22" i="131"/>
  <c r="M24" i="131"/>
  <c r="M25" i="131"/>
  <c r="I26" i="131"/>
  <c r="R4" i="131"/>
  <c r="N16" i="131"/>
  <c r="K17" i="131"/>
  <c r="N20" i="131"/>
  <c r="J24" i="131"/>
  <c r="N24" i="131"/>
  <c r="J25" i="131"/>
  <c r="N25" i="131"/>
  <c r="J26" i="131"/>
  <c r="N26" i="131"/>
  <c r="I28" i="131"/>
  <c r="P7" i="130"/>
  <c r="Q7" i="130"/>
  <c r="P9" i="130"/>
  <c r="Q9" i="130"/>
  <c r="P11" i="130"/>
  <c r="Q11" i="130"/>
  <c r="P4" i="130"/>
  <c r="R11" i="130"/>
  <c r="P12" i="130"/>
  <c r="R13" i="130"/>
  <c r="K15" i="130"/>
  <c r="N18" i="130"/>
  <c r="K19" i="130"/>
  <c r="N22" i="130"/>
  <c r="K23" i="130"/>
  <c r="K28" i="130"/>
  <c r="N29" i="130"/>
  <c r="R37" i="130"/>
  <c r="K16" i="130"/>
  <c r="K27" i="130"/>
  <c r="R5" i="130"/>
  <c r="P6" i="130"/>
  <c r="R7" i="130"/>
  <c r="R9" i="130"/>
  <c r="O5" i="130"/>
  <c r="Q8" i="130"/>
  <c r="N17" i="130"/>
  <c r="K18" i="130"/>
  <c r="N21" i="130"/>
  <c r="K22" i="130"/>
  <c r="K29" i="130"/>
  <c r="N30" i="130"/>
  <c r="K20" i="130"/>
  <c r="K24" i="130"/>
  <c r="K25" i="130"/>
  <c r="R4" i="130"/>
  <c r="N16" i="130"/>
  <c r="K17" i="130"/>
  <c r="N20" i="130"/>
  <c r="N24" i="130"/>
  <c r="N25" i="130"/>
  <c r="N26" i="130"/>
  <c r="E22" i="126"/>
  <c r="E21" i="126"/>
  <c r="D21" i="126"/>
  <c r="F20" i="126"/>
  <c r="E20" i="126"/>
  <c r="D20" i="126"/>
  <c r="E19" i="126"/>
  <c r="D19" i="126"/>
  <c r="H17" i="126"/>
  <c r="I17" i="126" s="1"/>
  <c r="G17" i="126"/>
  <c r="F17" i="126"/>
  <c r="H16" i="126"/>
  <c r="I16" i="126" s="1"/>
  <c r="G16" i="126"/>
  <c r="F16" i="126"/>
  <c r="H15" i="126"/>
  <c r="I15" i="126" s="1"/>
  <c r="G15" i="126"/>
  <c r="F15" i="126"/>
  <c r="H14" i="126"/>
  <c r="I14" i="126" s="1"/>
  <c r="G14" i="126"/>
  <c r="F14" i="126"/>
  <c r="H13" i="126"/>
  <c r="I13" i="126" s="1"/>
  <c r="G13" i="126"/>
  <c r="F13" i="126"/>
  <c r="H12" i="126"/>
  <c r="I12" i="126" s="1"/>
  <c r="G12" i="126"/>
  <c r="F12" i="126"/>
  <c r="H11" i="126"/>
  <c r="I11" i="126" s="1"/>
  <c r="G11" i="126"/>
  <c r="F11" i="126"/>
  <c r="H10" i="126"/>
  <c r="I10" i="126" s="1"/>
  <c r="G10" i="126"/>
  <c r="F10" i="126"/>
  <c r="H9" i="126"/>
  <c r="I9" i="126" s="1"/>
  <c r="G9" i="126"/>
  <c r="F9" i="126"/>
  <c r="H8" i="126"/>
  <c r="I8" i="126" s="1"/>
  <c r="G8" i="126"/>
  <c r="F8" i="126"/>
  <c r="H7" i="126"/>
  <c r="I7" i="126" s="1"/>
  <c r="G7" i="126"/>
  <c r="F7" i="126"/>
  <c r="H6" i="126"/>
  <c r="I6" i="126" s="1"/>
  <c r="G6" i="126"/>
  <c r="F6" i="126"/>
  <c r="H5" i="126"/>
  <c r="I5" i="126" s="1"/>
  <c r="G5" i="126"/>
  <c r="F5" i="126"/>
  <c r="H4" i="126"/>
  <c r="I4" i="126" s="1"/>
  <c r="G4" i="126"/>
  <c r="F4" i="126"/>
  <c r="H3" i="126"/>
  <c r="H20" i="126" s="1"/>
  <c r="G3" i="126"/>
  <c r="F3" i="126"/>
  <c r="F19" i="126" s="1"/>
  <c r="P10" i="130" l="1"/>
  <c r="Q13" i="130"/>
  <c r="P6" i="131"/>
  <c r="P4" i="131"/>
  <c r="P5" i="131"/>
  <c r="Q5" i="131"/>
  <c r="P5" i="130"/>
  <c r="Q5" i="130"/>
  <c r="H21" i="126"/>
  <c r="I3" i="126"/>
  <c r="H19" i="126"/>
  <c r="F21" i="126"/>
  <c r="C11" i="124"/>
  <c r="C12" i="124"/>
  <c r="C13" i="124"/>
  <c r="C14" i="124"/>
  <c r="C15" i="124"/>
  <c r="C16" i="124"/>
  <c r="C17" i="124"/>
  <c r="C18" i="124"/>
  <c r="C19" i="124"/>
  <c r="C20" i="124"/>
  <c r="C21" i="124"/>
  <c r="C22" i="124"/>
  <c r="C23" i="124"/>
  <c r="C24" i="124"/>
  <c r="C25" i="124"/>
  <c r="C26" i="124"/>
  <c r="C27" i="124"/>
  <c r="C28" i="124"/>
  <c r="C29" i="124"/>
  <c r="C30" i="124"/>
  <c r="C31" i="124"/>
  <c r="C32" i="124"/>
  <c r="C33" i="124"/>
  <c r="C34" i="124"/>
  <c r="C35" i="124"/>
  <c r="C36" i="124"/>
  <c r="C37" i="124"/>
  <c r="C38" i="124"/>
  <c r="C39" i="124"/>
  <c r="C40" i="124"/>
  <c r="C41" i="124"/>
  <c r="C42" i="124"/>
  <c r="C43" i="124"/>
  <c r="C44" i="124"/>
  <c r="C45" i="124"/>
  <c r="C46" i="124"/>
  <c r="C47" i="124"/>
  <c r="C48" i="124"/>
  <c r="C49" i="124"/>
  <c r="C50" i="124"/>
  <c r="C10" i="124"/>
  <c r="A7" i="123"/>
  <c r="A6" i="123"/>
  <c r="A5" i="123"/>
  <c r="A4" i="123"/>
  <c r="E11" i="122"/>
  <c r="F11" i="122"/>
  <c r="E12" i="122"/>
  <c r="F12" i="122"/>
  <c r="E13" i="122"/>
  <c r="F13" i="122"/>
  <c r="E14" i="122"/>
  <c r="F14" i="122"/>
  <c r="E15" i="122"/>
  <c r="F15" i="122"/>
  <c r="E16" i="122"/>
  <c r="F16" i="122"/>
  <c r="E17" i="122"/>
  <c r="F17" i="122"/>
  <c r="E18" i="122"/>
  <c r="F18" i="122"/>
  <c r="E19" i="122"/>
  <c r="F19" i="122"/>
  <c r="E20" i="122"/>
  <c r="F20" i="122"/>
  <c r="E21" i="122"/>
  <c r="F21" i="122"/>
  <c r="E22" i="122"/>
  <c r="F22" i="122"/>
  <c r="E23" i="122"/>
  <c r="F23" i="122"/>
  <c r="E24" i="122"/>
  <c r="F24" i="122"/>
  <c r="E25" i="122"/>
  <c r="F25" i="122"/>
  <c r="E26" i="122"/>
  <c r="F26" i="122"/>
  <c r="E27" i="122"/>
  <c r="F27" i="122"/>
  <c r="E28" i="122"/>
  <c r="F28" i="122"/>
  <c r="E29" i="122"/>
  <c r="F29" i="122"/>
  <c r="E30" i="122"/>
  <c r="F30" i="122"/>
  <c r="E31" i="122"/>
  <c r="F31" i="122"/>
  <c r="E32" i="122"/>
  <c r="F32" i="122"/>
  <c r="E33" i="122"/>
  <c r="F33" i="122"/>
  <c r="E34" i="122"/>
  <c r="F34" i="122"/>
  <c r="E35" i="122"/>
  <c r="F35" i="122"/>
  <c r="E36" i="122"/>
  <c r="F36" i="122"/>
  <c r="E37" i="122"/>
  <c r="F37" i="122"/>
  <c r="E38" i="122"/>
  <c r="F38" i="122"/>
  <c r="E39" i="122"/>
  <c r="F39" i="122"/>
  <c r="E40" i="122"/>
  <c r="F40" i="122"/>
  <c r="E41" i="122"/>
  <c r="F41" i="122"/>
  <c r="E42" i="122"/>
  <c r="F42" i="122"/>
  <c r="E43" i="122"/>
  <c r="F43" i="122"/>
  <c r="E44" i="122"/>
  <c r="F44" i="122"/>
  <c r="E45" i="122"/>
  <c r="F45" i="122"/>
  <c r="E46" i="122"/>
  <c r="F46" i="122"/>
  <c r="E47" i="122"/>
  <c r="F47" i="122"/>
  <c r="E48" i="122"/>
  <c r="F48" i="122"/>
  <c r="E49" i="122"/>
  <c r="F49" i="122"/>
  <c r="E50" i="122"/>
  <c r="F50" i="122"/>
  <c r="E51" i="122"/>
  <c r="F51" i="122"/>
  <c r="E52" i="122"/>
  <c r="F52" i="122"/>
  <c r="E53" i="122"/>
  <c r="F53" i="122"/>
  <c r="E54" i="122"/>
  <c r="F54" i="122"/>
  <c r="E55" i="122"/>
  <c r="F55" i="122"/>
  <c r="E56" i="122"/>
  <c r="F56" i="122"/>
  <c r="E57" i="122"/>
  <c r="F57" i="122"/>
  <c r="E58" i="122"/>
  <c r="F58" i="122"/>
  <c r="E59" i="122"/>
  <c r="F59" i="122"/>
  <c r="E60" i="122"/>
  <c r="F60" i="122"/>
  <c r="E61" i="122"/>
  <c r="F61" i="122"/>
  <c r="E62" i="122"/>
  <c r="F62" i="122"/>
  <c r="E63" i="122"/>
  <c r="F63" i="122"/>
  <c r="E64" i="122"/>
  <c r="F64" i="122"/>
  <c r="E65" i="122"/>
  <c r="F65" i="122"/>
  <c r="E66" i="122"/>
  <c r="F66" i="122"/>
  <c r="E67" i="122"/>
  <c r="F67" i="122"/>
  <c r="E68" i="122"/>
  <c r="F68" i="122"/>
  <c r="E69" i="122"/>
  <c r="F69" i="122"/>
  <c r="E70" i="122"/>
  <c r="F70" i="122"/>
  <c r="E71" i="122"/>
  <c r="F71" i="122"/>
  <c r="E72" i="122"/>
  <c r="F72" i="122"/>
  <c r="E73" i="122"/>
  <c r="F73" i="122"/>
  <c r="E74" i="122"/>
  <c r="F74" i="122"/>
  <c r="E75" i="122"/>
  <c r="F75" i="122"/>
  <c r="E76" i="122"/>
  <c r="F76" i="122"/>
  <c r="E77" i="122"/>
  <c r="F77" i="122"/>
  <c r="E78" i="122"/>
  <c r="F78" i="122"/>
  <c r="E79" i="122"/>
  <c r="F79" i="122"/>
  <c r="E80" i="122"/>
  <c r="F80" i="122"/>
  <c r="E81" i="122"/>
  <c r="F81" i="122"/>
  <c r="E82" i="122"/>
  <c r="F82" i="122"/>
  <c r="E83" i="122"/>
  <c r="F83" i="122"/>
  <c r="E84" i="122"/>
  <c r="F84" i="122"/>
  <c r="E85" i="122"/>
  <c r="F85" i="122"/>
  <c r="E86" i="122"/>
  <c r="F86" i="122"/>
  <c r="E87" i="122"/>
  <c r="F87" i="122"/>
  <c r="E88" i="122"/>
  <c r="F88" i="122"/>
  <c r="E89" i="122"/>
  <c r="F89" i="122"/>
  <c r="E90" i="122"/>
  <c r="F90" i="122"/>
  <c r="E91" i="122"/>
  <c r="F91" i="122"/>
  <c r="E92" i="122"/>
  <c r="F92" i="122"/>
  <c r="E93" i="122"/>
  <c r="F93" i="122"/>
  <c r="E94" i="122"/>
  <c r="F94" i="122"/>
  <c r="E95" i="122"/>
  <c r="F95" i="122"/>
  <c r="E96" i="122"/>
  <c r="F96" i="122"/>
  <c r="E97" i="122"/>
  <c r="F97" i="122"/>
  <c r="E98" i="122"/>
  <c r="F98" i="122"/>
  <c r="E99" i="122"/>
  <c r="F99" i="122"/>
  <c r="E100" i="122"/>
  <c r="F100" i="122"/>
  <c r="E101" i="122"/>
  <c r="F101" i="122"/>
  <c r="E102" i="122"/>
  <c r="F102" i="122"/>
  <c r="E103" i="122"/>
  <c r="F103" i="122"/>
  <c r="E104" i="122"/>
  <c r="F104" i="122"/>
  <c r="E105" i="122"/>
  <c r="F105" i="122"/>
  <c r="E106" i="122"/>
  <c r="F106" i="122"/>
  <c r="E107" i="122"/>
  <c r="F107" i="122"/>
  <c r="E108" i="122"/>
  <c r="F108" i="122"/>
  <c r="E109" i="122"/>
  <c r="F109" i="122"/>
  <c r="E110" i="122"/>
  <c r="F110" i="122"/>
  <c r="E111" i="122"/>
  <c r="F111" i="122"/>
  <c r="E112" i="122"/>
  <c r="F112" i="122"/>
  <c r="E113" i="122"/>
  <c r="F113" i="122"/>
  <c r="E114" i="122"/>
  <c r="F114" i="122"/>
  <c r="E115" i="122"/>
  <c r="F115" i="122"/>
  <c r="E116" i="122"/>
  <c r="F116" i="122"/>
  <c r="E117" i="122"/>
  <c r="F117" i="122"/>
  <c r="E118" i="122"/>
  <c r="F118" i="122"/>
  <c r="E119" i="122"/>
  <c r="F119" i="122"/>
  <c r="E120" i="122"/>
  <c r="F120" i="122"/>
  <c r="E121" i="122"/>
  <c r="F121" i="122"/>
  <c r="E122" i="122"/>
  <c r="F122" i="122"/>
  <c r="E123" i="122"/>
  <c r="F123" i="122"/>
  <c r="E124" i="122"/>
  <c r="F124" i="122"/>
  <c r="E125" i="122"/>
  <c r="F125" i="122"/>
  <c r="E126" i="122"/>
  <c r="F126" i="122"/>
  <c r="E127" i="122"/>
  <c r="F127" i="122"/>
  <c r="E128" i="122"/>
  <c r="F128" i="122"/>
  <c r="E129" i="122"/>
  <c r="F129" i="122"/>
  <c r="E130" i="122"/>
  <c r="F130" i="122"/>
  <c r="E131" i="122"/>
  <c r="F131" i="122"/>
  <c r="E132" i="122"/>
  <c r="F132" i="122"/>
  <c r="E133" i="122"/>
  <c r="F133" i="122"/>
  <c r="E134" i="122"/>
  <c r="F134" i="122"/>
  <c r="E135" i="122"/>
  <c r="F135" i="122"/>
  <c r="E136" i="122"/>
  <c r="F136" i="122"/>
  <c r="E137" i="122"/>
  <c r="F137" i="122"/>
  <c r="E138" i="122"/>
  <c r="F138" i="122"/>
  <c r="E139" i="122"/>
  <c r="F139" i="122"/>
  <c r="E140" i="122"/>
  <c r="F140" i="122"/>
  <c r="E141" i="122"/>
  <c r="F141" i="122"/>
  <c r="E142" i="122"/>
  <c r="F142" i="122"/>
  <c r="E143" i="122"/>
  <c r="F143" i="122"/>
  <c r="E144" i="122"/>
  <c r="F144" i="122"/>
  <c r="E145" i="122"/>
  <c r="F145" i="122"/>
  <c r="E146" i="122"/>
  <c r="F146" i="122"/>
  <c r="E147" i="122"/>
  <c r="F147" i="122"/>
  <c r="E148" i="122"/>
  <c r="F148" i="122"/>
  <c r="E149" i="122"/>
  <c r="F149" i="122"/>
  <c r="E150" i="122"/>
  <c r="F150" i="122"/>
  <c r="E151" i="122"/>
  <c r="F151" i="122"/>
  <c r="E152" i="122"/>
  <c r="F152" i="122"/>
  <c r="E153" i="122"/>
  <c r="F153" i="122"/>
  <c r="E154" i="122"/>
  <c r="F154" i="122"/>
  <c r="E155" i="122"/>
  <c r="F155" i="122"/>
  <c r="E156" i="122"/>
  <c r="F156" i="122"/>
  <c r="E157" i="122"/>
  <c r="F157" i="122"/>
  <c r="E158" i="122"/>
  <c r="F158" i="122"/>
  <c r="E159" i="122"/>
  <c r="F159" i="122"/>
  <c r="E160" i="122"/>
  <c r="F160" i="122"/>
  <c r="E161" i="122"/>
  <c r="F161" i="122"/>
  <c r="E162" i="122"/>
  <c r="F162" i="122"/>
  <c r="E163" i="122"/>
  <c r="F163" i="122"/>
  <c r="E164" i="122"/>
  <c r="F164" i="122"/>
  <c r="E165" i="122"/>
  <c r="F165" i="122"/>
  <c r="E166" i="122"/>
  <c r="F166" i="122"/>
  <c r="E167" i="122"/>
  <c r="F167" i="122"/>
  <c r="E168" i="122"/>
  <c r="F168" i="122"/>
  <c r="E169" i="122"/>
  <c r="F169" i="122"/>
  <c r="E170" i="122"/>
  <c r="F170" i="122"/>
  <c r="E171" i="122"/>
  <c r="F171" i="122"/>
  <c r="E172" i="122"/>
  <c r="F172" i="122"/>
  <c r="E173" i="122"/>
  <c r="F173" i="122"/>
  <c r="E174" i="122"/>
  <c r="F174" i="122"/>
  <c r="E175" i="122"/>
  <c r="F175" i="122"/>
  <c r="E176" i="122"/>
  <c r="F176" i="122"/>
  <c r="E177" i="122"/>
  <c r="F177" i="122"/>
  <c r="E178" i="122"/>
  <c r="F178" i="122"/>
  <c r="E179" i="122"/>
  <c r="F179" i="122"/>
  <c r="E180" i="122"/>
  <c r="F180" i="122"/>
  <c r="E181" i="122"/>
  <c r="F181" i="122"/>
  <c r="E182" i="122"/>
  <c r="F182" i="122"/>
  <c r="E183" i="122"/>
  <c r="F183" i="122"/>
  <c r="E184" i="122"/>
  <c r="F184" i="122"/>
  <c r="E185" i="122"/>
  <c r="F185" i="122"/>
  <c r="E186" i="122"/>
  <c r="F186" i="122"/>
  <c r="E187" i="122"/>
  <c r="F187" i="122"/>
  <c r="E188" i="122"/>
  <c r="F188" i="122"/>
  <c r="E189" i="122"/>
  <c r="F189" i="122"/>
  <c r="E190" i="122"/>
  <c r="F190" i="122"/>
  <c r="E191" i="122"/>
  <c r="F191" i="122"/>
  <c r="E192" i="122"/>
  <c r="F192" i="122"/>
  <c r="E193" i="122"/>
  <c r="F193" i="122"/>
  <c r="E194" i="122"/>
  <c r="F194" i="122"/>
  <c r="E195" i="122"/>
  <c r="F195" i="122"/>
  <c r="E196" i="122"/>
  <c r="F196" i="122"/>
  <c r="E197" i="122"/>
  <c r="F197" i="122"/>
  <c r="E198" i="122"/>
  <c r="F198" i="122"/>
  <c r="E199" i="122"/>
  <c r="F199" i="122"/>
  <c r="E200" i="122"/>
  <c r="F200" i="122"/>
  <c r="E201" i="122"/>
  <c r="F201" i="122"/>
  <c r="E202" i="122"/>
  <c r="F202" i="122"/>
  <c r="E203" i="122"/>
  <c r="F203" i="122"/>
  <c r="E204" i="122"/>
  <c r="F204" i="122"/>
  <c r="E205" i="122"/>
  <c r="F205" i="122"/>
  <c r="E206" i="122"/>
  <c r="F206" i="122"/>
  <c r="E207" i="122"/>
  <c r="F207" i="122"/>
  <c r="E208" i="122"/>
  <c r="F208" i="122"/>
  <c r="E209" i="122"/>
  <c r="F209" i="122"/>
  <c r="E210" i="122"/>
  <c r="F210" i="122"/>
  <c r="E211" i="122"/>
  <c r="F211" i="122"/>
  <c r="E212" i="122"/>
  <c r="F212" i="122"/>
  <c r="E213" i="122"/>
  <c r="F213" i="122"/>
  <c r="E214" i="122"/>
  <c r="F214" i="122"/>
  <c r="E215" i="122"/>
  <c r="F215" i="122"/>
  <c r="E216" i="122"/>
  <c r="F216" i="122"/>
  <c r="E217" i="122"/>
  <c r="F217" i="122"/>
  <c r="E218" i="122"/>
  <c r="F218" i="122"/>
  <c r="E219" i="122"/>
  <c r="F219" i="122"/>
  <c r="E220" i="122"/>
  <c r="F220" i="122"/>
  <c r="E221" i="122"/>
  <c r="F221" i="122"/>
  <c r="E222" i="122"/>
  <c r="F222" i="122"/>
  <c r="E223" i="122"/>
  <c r="F223" i="122"/>
  <c r="E224" i="122"/>
  <c r="F224" i="122"/>
  <c r="E225" i="122"/>
  <c r="F225" i="122"/>
  <c r="E226" i="122"/>
  <c r="F226" i="122"/>
  <c r="E227" i="122"/>
  <c r="F227" i="122"/>
  <c r="E228" i="122"/>
  <c r="F228" i="122"/>
  <c r="E229" i="122"/>
  <c r="F229" i="122"/>
  <c r="E230" i="122"/>
  <c r="F230" i="122"/>
  <c r="E231" i="122"/>
  <c r="F231" i="122"/>
  <c r="E232" i="122"/>
  <c r="F232" i="122"/>
  <c r="E233" i="122"/>
  <c r="F233" i="122"/>
  <c r="E234" i="122"/>
  <c r="F234" i="122"/>
  <c r="E235" i="122"/>
  <c r="F235" i="122"/>
  <c r="E236" i="122"/>
  <c r="F236" i="122"/>
  <c r="E237" i="122"/>
  <c r="F237" i="122"/>
  <c r="E238" i="122"/>
  <c r="F238" i="122"/>
  <c r="E239" i="122"/>
  <c r="F239" i="122"/>
  <c r="E240" i="122"/>
  <c r="F240" i="122"/>
  <c r="E241" i="122"/>
  <c r="F241" i="122"/>
  <c r="E242" i="122"/>
  <c r="F242" i="122"/>
  <c r="E243" i="122"/>
  <c r="F243" i="122"/>
  <c r="E244" i="122"/>
  <c r="F244" i="122"/>
  <c r="E245" i="122"/>
  <c r="F245" i="122"/>
  <c r="E246" i="122"/>
  <c r="F246" i="122"/>
  <c r="E247" i="122"/>
  <c r="F247" i="122"/>
  <c r="E248" i="122"/>
  <c r="F248" i="122"/>
  <c r="E249" i="122"/>
  <c r="F249" i="122"/>
  <c r="E250" i="122"/>
  <c r="F250" i="122"/>
  <c r="E251" i="122"/>
  <c r="F251" i="122"/>
  <c r="E252" i="122"/>
  <c r="F252" i="122"/>
  <c r="E253" i="122"/>
  <c r="F253" i="122"/>
  <c r="E254" i="122"/>
  <c r="F254" i="122"/>
  <c r="E255" i="122"/>
  <c r="F255" i="122"/>
  <c r="E256" i="122"/>
  <c r="F256" i="122"/>
  <c r="E257" i="122"/>
  <c r="F257" i="122"/>
  <c r="E258" i="122"/>
  <c r="F258" i="122"/>
  <c r="E259" i="122"/>
  <c r="F259" i="122"/>
  <c r="E260" i="122"/>
  <c r="F260" i="122"/>
  <c r="E261" i="122"/>
  <c r="F261" i="122"/>
  <c r="E262" i="122"/>
  <c r="F262" i="122"/>
  <c r="E263" i="122"/>
  <c r="F263" i="122"/>
  <c r="E264" i="122"/>
  <c r="F264" i="122"/>
  <c r="E265" i="122"/>
  <c r="F265" i="122"/>
  <c r="E266" i="122"/>
  <c r="F266" i="122"/>
  <c r="E267" i="122"/>
  <c r="F267" i="122"/>
  <c r="E268" i="122"/>
  <c r="F268" i="122"/>
  <c r="E269" i="122"/>
  <c r="F269" i="122"/>
  <c r="E270" i="122"/>
  <c r="F270" i="122"/>
  <c r="E271" i="122"/>
  <c r="F271" i="122"/>
  <c r="E272" i="122"/>
  <c r="F272" i="122"/>
  <c r="E273" i="122"/>
  <c r="F273" i="122"/>
  <c r="E274" i="122"/>
  <c r="F274" i="122"/>
  <c r="E275" i="122"/>
  <c r="F275" i="122"/>
  <c r="E276" i="122"/>
  <c r="F276" i="122"/>
  <c r="E277" i="122"/>
  <c r="F277" i="122"/>
  <c r="E278" i="122"/>
  <c r="F278" i="122"/>
  <c r="E279" i="122"/>
  <c r="F279" i="122"/>
  <c r="E280" i="122"/>
  <c r="F280" i="122"/>
  <c r="E281" i="122"/>
  <c r="F281" i="122"/>
  <c r="E282" i="122"/>
  <c r="F282" i="122"/>
  <c r="E283" i="122"/>
  <c r="F283" i="122"/>
  <c r="E284" i="122"/>
  <c r="F284" i="122"/>
  <c r="E285" i="122"/>
  <c r="F285" i="122"/>
  <c r="E286" i="122"/>
  <c r="F286" i="122"/>
  <c r="E287" i="122"/>
  <c r="F287" i="122"/>
  <c r="E288" i="122"/>
  <c r="F288" i="122"/>
  <c r="E289" i="122"/>
  <c r="F289" i="122"/>
  <c r="E290" i="122"/>
  <c r="F290" i="122"/>
  <c r="E291" i="122"/>
  <c r="F291" i="122"/>
  <c r="E292" i="122"/>
  <c r="F292" i="122"/>
  <c r="E293" i="122"/>
  <c r="F293" i="122"/>
  <c r="E294" i="122"/>
  <c r="F294" i="122"/>
  <c r="E295" i="122"/>
  <c r="F295" i="122"/>
  <c r="E296" i="122"/>
  <c r="F296" i="122"/>
  <c r="E297" i="122"/>
  <c r="F297" i="122"/>
  <c r="E298" i="122"/>
  <c r="F298" i="122"/>
  <c r="E299" i="122"/>
  <c r="F299" i="122"/>
  <c r="E300" i="122"/>
  <c r="F300" i="122"/>
  <c r="E301" i="122"/>
  <c r="F301" i="122"/>
  <c r="E302" i="122"/>
  <c r="F302" i="122"/>
  <c r="E303" i="122"/>
  <c r="F303" i="122"/>
  <c r="E304" i="122"/>
  <c r="F304" i="122"/>
  <c r="E305" i="122"/>
  <c r="F305" i="122"/>
  <c r="E306" i="122"/>
  <c r="F306" i="122"/>
  <c r="E307" i="122"/>
  <c r="F307" i="122"/>
  <c r="E308" i="122"/>
  <c r="F308" i="122"/>
  <c r="E309" i="122"/>
  <c r="F309" i="122"/>
  <c r="E310" i="122"/>
  <c r="F310" i="122"/>
  <c r="E311" i="122"/>
  <c r="F311" i="122"/>
  <c r="E312" i="122"/>
  <c r="F312" i="122"/>
  <c r="E313" i="122"/>
  <c r="F313" i="122"/>
  <c r="E314" i="122"/>
  <c r="F314" i="122"/>
  <c r="E315" i="122"/>
  <c r="F315" i="122"/>
  <c r="E316" i="122"/>
  <c r="F316" i="122"/>
  <c r="E317" i="122"/>
  <c r="F317" i="122"/>
  <c r="E318" i="122"/>
  <c r="F318" i="122"/>
  <c r="E319" i="122"/>
  <c r="F319" i="122"/>
  <c r="E320" i="122"/>
  <c r="F320" i="122"/>
  <c r="E321" i="122"/>
  <c r="F321" i="122"/>
  <c r="E322" i="122"/>
  <c r="F322" i="122"/>
  <c r="E323" i="122"/>
  <c r="F323" i="122"/>
  <c r="E324" i="122"/>
  <c r="F324" i="122"/>
  <c r="E325" i="122"/>
  <c r="F325" i="122"/>
  <c r="E326" i="122"/>
  <c r="F326" i="122"/>
  <c r="E327" i="122"/>
  <c r="F327" i="122"/>
  <c r="E328" i="122"/>
  <c r="F328" i="122"/>
  <c r="E329" i="122"/>
  <c r="F329" i="122"/>
  <c r="E330" i="122"/>
  <c r="F330" i="122"/>
  <c r="E331" i="122"/>
  <c r="F331" i="122"/>
  <c r="E332" i="122"/>
  <c r="F332" i="122"/>
  <c r="E333" i="122"/>
  <c r="F333" i="122"/>
  <c r="E334" i="122"/>
  <c r="F334" i="122"/>
  <c r="E335" i="122"/>
  <c r="F335" i="122"/>
  <c r="E336" i="122"/>
  <c r="F336" i="122"/>
  <c r="E337" i="122"/>
  <c r="F337" i="122"/>
  <c r="E338" i="122"/>
  <c r="F338" i="122"/>
  <c r="E339" i="122"/>
  <c r="F339" i="122"/>
  <c r="E340" i="122"/>
  <c r="F340" i="122"/>
  <c r="E341" i="122"/>
  <c r="F341" i="122"/>
  <c r="E342" i="122"/>
  <c r="F342" i="122"/>
  <c r="E343" i="122"/>
  <c r="F343" i="122"/>
  <c r="E344" i="122"/>
  <c r="F344" i="122"/>
  <c r="E345" i="122"/>
  <c r="F345" i="122"/>
  <c r="E346" i="122"/>
  <c r="F346" i="122"/>
  <c r="E347" i="122"/>
  <c r="F347" i="122"/>
  <c r="E348" i="122"/>
  <c r="F348" i="122"/>
  <c r="E349" i="122"/>
  <c r="F349" i="122"/>
  <c r="E350" i="122"/>
  <c r="F350" i="122"/>
  <c r="E351" i="122"/>
  <c r="F351" i="122"/>
  <c r="E352" i="122"/>
  <c r="F352" i="122"/>
  <c r="E353" i="122"/>
  <c r="F353" i="122"/>
  <c r="E354" i="122"/>
  <c r="F354" i="122"/>
  <c r="E355" i="122"/>
  <c r="F355" i="122"/>
  <c r="E356" i="122"/>
  <c r="F356" i="122"/>
  <c r="E357" i="122"/>
  <c r="F357" i="122"/>
  <c r="E358" i="122"/>
  <c r="F358" i="122"/>
  <c r="E359" i="122"/>
  <c r="F359" i="122"/>
  <c r="E360" i="122"/>
  <c r="F360" i="122"/>
  <c r="E361" i="122"/>
  <c r="F361" i="122"/>
  <c r="E362" i="122"/>
  <c r="F362" i="122"/>
  <c r="E363" i="122"/>
  <c r="F363" i="122"/>
  <c r="E364" i="122"/>
  <c r="F364" i="122"/>
  <c r="E365" i="122"/>
  <c r="F365" i="122"/>
  <c r="E366" i="122"/>
  <c r="F366" i="122"/>
  <c r="E367" i="122"/>
  <c r="F367" i="122"/>
  <c r="E368" i="122"/>
  <c r="F368" i="122"/>
  <c r="E369" i="122"/>
  <c r="F369" i="122"/>
  <c r="E370" i="122"/>
  <c r="F370" i="122"/>
  <c r="E371" i="122"/>
  <c r="F371" i="122"/>
  <c r="E372" i="122"/>
  <c r="F372" i="122"/>
  <c r="E373" i="122"/>
  <c r="F373" i="122"/>
  <c r="E374" i="122"/>
  <c r="F374" i="122"/>
  <c r="E375" i="122"/>
  <c r="F375" i="122"/>
  <c r="E376" i="122"/>
  <c r="F376" i="122"/>
  <c r="E377" i="122"/>
  <c r="F377" i="122"/>
  <c r="E378" i="122"/>
  <c r="F378" i="122"/>
  <c r="E379" i="122"/>
  <c r="F379" i="122"/>
  <c r="E380" i="122"/>
  <c r="F380" i="122"/>
  <c r="E381" i="122"/>
  <c r="F381" i="122"/>
  <c r="E382" i="122"/>
  <c r="F382" i="122"/>
  <c r="E383" i="122"/>
  <c r="F383" i="122"/>
  <c r="E384" i="122"/>
  <c r="F384" i="122"/>
  <c r="E385" i="122"/>
  <c r="F385" i="122"/>
  <c r="E386" i="122"/>
  <c r="F386" i="122"/>
  <c r="E387" i="122"/>
  <c r="F387" i="122"/>
  <c r="E388" i="122"/>
  <c r="F388" i="122"/>
  <c r="E389" i="122"/>
  <c r="F389" i="122"/>
  <c r="E390" i="122"/>
  <c r="F390" i="122"/>
  <c r="E391" i="122"/>
  <c r="F391" i="122"/>
  <c r="E392" i="122"/>
  <c r="F392" i="122"/>
  <c r="E393" i="122"/>
  <c r="F393" i="122"/>
  <c r="E394" i="122"/>
  <c r="F394" i="122"/>
  <c r="E395" i="122"/>
  <c r="F395" i="122"/>
  <c r="E396" i="122"/>
  <c r="F396" i="122"/>
  <c r="E397" i="122"/>
  <c r="F397" i="122"/>
  <c r="E398" i="122"/>
  <c r="F398" i="122"/>
  <c r="E399" i="122"/>
  <c r="F399" i="122"/>
  <c r="E400" i="122"/>
  <c r="F400" i="122"/>
  <c r="E401" i="122"/>
  <c r="F401" i="122"/>
  <c r="E402" i="122"/>
  <c r="F402" i="122"/>
  <c r="E403" i="122"/>
  <c r="F403" i="122"/>
  <c r="E404" i="122"/>
  <c r="F404" i="122"/>
  <c r="E405" i="122"/>
  <c r="F405" i="122"/>
  <c r="E406" i="122"/>
  <c r="F406" i="122"/>
  <c r="E407" i="122"/>
  <c r="F407" i="122"/>
  <c r="E408" i="122"/>
  <c r="F408" i="122"/>
  <c r="E409" i="122"/>
  <c r="F409" i="122"/>
  <c r="E410" i="122"/>
  <c r="F410" i="122"/>
  <c r="E411" i="122"/>
  <c r="F411" i="122"/>
  <c r="E412" i="122"/>
  <c r="F412" i="122"/>
  <c r="E413" i="122"/>
  <c r="F413" i="122"/>
  <c r="E414" i="122"/>
  <c r="F414" i="122"/>
  <c r="E415" i="122"/>
  <c r="F415" i="122"/>
  <c r="E416" i="122"/>
  <c r="F416" i="122"/>
  <c r="E417" i="122"/>
  <c r="F417" i="122"/>
  <c r="E418" i="122"/>
  <c r="F418" i="122"/>
  <c r="E419" i="122"/>
  <c r="F419" i="122"/>
  <c r="E420" i="122"/>
  <c r="F420" i="122"/>
  <c r="E421" i="122"/>
  <c r="F421" i="122"/>
  <c r="E422" i="122"/>
  <c r="F422" i="122"/>
  <c r="E423" i="122"/>
  <c r="F423" i="122"/>
  <c r="E424" i="122"/>
  <c r="F424" i="122"/>
  <c r="E425" i="122"/>
  <c r="F425" i="122"/>
  <c r="E426" i="122"/>
  <c r="F426" i="122"/>
  <c r="E427" i="122"/>
  <c r="F427" i="122"/>
  <c r="E428" i="122"/>
  <c r="F428" i="122"/>
  <c r="E429" i="122"/>
  <c r="F429" i="122"/>
  <c r="E430" i="122"/>
  <c r="F430" i="122"/>
  <c r="E431" i="122"/>
  <c r="F431" i="122"/>
  <c r="E432" i="122"/>
  <c r="F432" i="122"/>
  <c r="E433" i="122"/>
  <c r="F433" i="122"/>
  <c r="E434" i="122"/>
  <c r="F434" i="122"/>
  <c r="E435" i="122"/>
  <c r="F435" i="122"/>
  <c r="E436" i="122"/>
  <c r="F436" i="122"/>
  <c r="E437" i="122"/>
  <c r="F437" i="122"/>
  <c r="E438" i="122"/>
  <c r="F438" i="122"/>
  <c r="E439" i="122"/>
  <c r="F439" i="122"/>
  <c r="E440" i="122"/>
  <c r="F440" i="122"/>
  <c r="E441" i="122"/>
  <c r="F441" i="122"/>
  <c r="E442" i="122"/>
  <c r="F442" i="122"/>
  <c r="E443" i="122"/>
  <c r="F443" i="122"/>
  <c r="E444" i="122"/>
  <c r="F444" i="122"/>
  <c r="E445" i="122"/>
  <c r="F445" i="122"/>
  <c r="E446" i="122"/>
  <c r="F446" i="122"/>
  <c r="E447" i="122"/>
  <c r="F447" i="122"/>
  <c r="E448" i="122"/>
  <c r="F448" i="122"/>
  <c r="E449" i="122"/>
  <c r="F449" i="122"/>
  <c r="E450" i="122"/>
  <c r="F450" i="122"/>
  <c r="E451" i="122"/>
  <c r="F451" i="122"/>
  <c r="E452" i="122"/>
  <c r="F452" i="122"/>
  <c r="E453" i="122"/>
  <c r="F453" i="122"/>
  <c r="E454" i="122"/>
  <c r="F454" i="122"/>
  <c r="E455" i="122"/>
  <c r="F455" i="122"/>
  <c r="E456" i="122"/>
  <c r="F456" i="122"/>
  <c r="E457" i="122"/>
  <c r="F457" i="122"/>
  <c r="E458" i="122"/>
  <c r="F458" i="122"/>
  <c r="E459" i="122"/>
  <c r="F459" i="122"/>
  <c r="E460" i="122"/>
  <c r="F460" i="122"/>
  <c r="E461" i="122"/>
  <c r="F461" i="122"/>
  <c r="E462" i="122"/>
  <c r="F462" i="122"/>
  <c r="E463" i="122"/>
  <c r="F463" i="122"/>
  <c r="E464" i="122"/>
  <c r="F464" i="122"/>
  <c r="E465" i="122"/>
  <c r="F465" i="122"/>
  <c r="E466" i="122"/>
  <c r="F466" i="122"/>
  <c r="E467" i="122"/>
  <c r="F467" i="122"/>
  <c r="E468" i="122"/>
  <c r="F468" i="122"/>
  <c r="E469" i="122"/>
  <c r="F469" i="122"/>
  <c r="E470" i="122"/>
  <c r="F470" i="122"/>
  <c r="E471" i="122"/>
  <c r="F471" i="122"/>
  <c r="E472" i="122"/>
  <c r="F472" i="122"/>
  <c r="E473" i="122"/>
  <c r="F473" i="122"/>
  <c r="E474" i="122"/>
  <c r="F474" i="122"/>
  <c r="E475" i="122"/>
  <c r="F475" i="122"/>
  <c r="E476" i="122"/>
  <c r="F476" i="122"/>
  <c r="E477" i="122"/>
  <c r="F477" i="122"/>
  <c r="E478" i="122"/>
  <c r="F478" i="122"/>
  <c r="E479" i="122"/>
  <c r="F479" i="122"/>
  <c r="E480" i="122"/>
  <c r="F480" i="122"/>
  <c r="E481" i="122"/>
  <c r="F481" i="122"/>
  <c r="E482" i="122"/>
  <c r="F482" i="122"/>
  <c r="E483" i="122"/>
  <c r="F483" i="122"/>
  <c r="E484" i="122"/>
  <c r="F484" i="122"/>
  <c r="E485" i="122"/>
  <c r="F485" i="122"/>
  <c r="E486" i="122"/>
  <c r="F486" i="122"/>
  <c r="E487" i="122"/>
  <c r="F487" i="122"/>
  <c r="E488" i="122"/>
  <c r="F488" i="122"/>
  <c r="E489" i="122"/>
  <c r="F489" i="122"/>
  <c r="E490" i="122"/>
  <c r="F490" i="122"/>
  <c r="E491" i="122"/>
  <c r="F491" i="122"/>
  <c r="E492" i="122"/>
  <c r="F492" i="122"/>
  <c r="E493" i="122"/>
  <c r="F493" i="122"/>
  <c r="E494" i="122"/>
  <c r="F494" i="122"/>
  <c r="E495" i="122"/>
  <c r="F495" i="122"/>
  <c r="E496" i="122"/>
  <c r="F496" i="122"/>
  <c r="E497" i="122"/>
  <c r="F497" i="122"/>
  <c r="E498" i="122"/>
  <c r="F498" i="122"/>
  <c r="E499" i="122"/>
  <c r="F499" i="122"/>
  <c r="E500" i="122"/>
  <c r="F500" i="122"/>
  <c r="E501" i="122"/>
  <c r="F501" i="122"/>
  <c r="E502" i="122"/>
  <c r="F502" i="122"/>
  <c r="E503" i="122"/>
  <c r="F503" i="122"/>
  <c r="E504" i="122"/>
  <c r="F504" i="122"/>
  <c r="E505" i="122"/>
  <c r="F505" i="122"/>
  <c r="E506" i="122"/>
  <c r="F506" i="122"/>
  <c r="E507" i="122"/>
  <c r="F507" i="122"/>
  <c r="E508" i="122"/>
  <c r="F508" i="122"/>
  <c r="E10" i="122"/>
  <c r="F10" i="122"/>
  <c r="A5" i="122"/>
  <c r="A6" i="122"/>
  <c r="A7" i="122"/>
  <c r="A4" i="122"/>
  <c r="I21" i="126" l="1"/>
  <c r="I19" i="126"/>
  <c r="I20" i="126"/>
  <c r="A24" i="121"/>
  <c r="A23" i="121"/>
  <c r="E23" i="121" s="1"/>
  <c r="A22" i="121"/>
  <c r="E22" i="121" s="1"/>
  <c r="A21" i="121"/>
  <c r="E13" i="121" s="1"/>
  <c r="A20" i="121"/>
  <c r="E20" i="121" s="1"/>
  <c r="E19" i="121"/>
  <c r="F12" i="121"/>
  <c r="G12" i="121" s="1"/>
  <c r="E12" i="121"/>
  <c r="E11" i="121"/>
  <c r="E8" i="121"/>
  <c r="E7" i="121"/>
  <c r="F5" i="121"/>
  <c r="G5" i="121" s="1"/>
  <c r="F4" i="121"/>
  <c r="G4" i="121" s="1"/>
  <c r="E4" i="121"/>
  <c r="E6" i="121" l="1"/>
  <c r="F7" i="121"/>
  <c r="G7" i="121" s="1"/>
  <c r="E10" i="121"/>
  <c r="F11" i="121"/>
  <c r="G11" i="121" s="1"/>
  <c r="E21" i="121"/>
  <c r="F23" i="121" s="1"/>
  <c r="D24" i="121" s="1"/>
  <c r="E5" i="121"/>
  <c r="E9" i="121"/>
  <c r="F19" i="121"/>
  <c r="D20" i="121" s="1"/>
  <c r="F6" i="121" s="1"/>
  <c r="G6" i="121" s="1"/>
  <c r="F20" i="121"/>
  <c r="D21" i="121" s="1"/>
  <c r="F22" i="121"/>
  <c r="D23" i="121" s="1"/>
  <c r="F9" i="121" s="1"/>
  <c r="G9" i="121" s="1"/>
  <c r="F13" i="121" l="1"/>
  <c r="G13" i="121" s="1"/>
  <c r="F8" i="121"/>
  <c r="G8" i="121" s="1"/>
  <c r="F10" i="121"/>
  <c r="G10" i="121" s="1"/>
  <c r="F21" i="121"/>
  <c r="D22" i="121" s="1"/>
  <c r="I17" i="108"/>
  <c r="I16" i="108"/>
  <c r="I15" i="108"/>
  <c r="I14" i="108"/>
  <c r="I13" i="108"/>
  <c r="I12" i="108"/>
  <c r="I11" i="108"/>
  <c r="I10" i="108"/>
  <c r="I9" i="108"/>
  <c r="I8" i="108"/>
  <c r="I7" i="108"/>
  <c r="I6" i="108"/>
  <c r="I5" i="108"/>
  <c r="I4" i="108"/>
  <c r="I3" i="108"/>
  <c r="N21" i="102" l="1"/>
  <c r="M21" i="102"/>
  <c r="L21" i="102"/>
  <c r="K21" i="102"/>
  <c r="J21" i="102"/>
  <c r="I21" i="102"/>
  <c r="H21" i="102"/>
  <c r="N20" i="102"/>
  <c r="M20" i="102"/>
  <c r="L20" i="102"/>
  <c r="K20" i="102"/>
  <c r="J20" i="102"/>
  <c r="I20" i="102"/>
  <c r="H20" i="102"/>
  <c r="N21" i="104"/>
  <c r="M21" i="104"/>
  <c r="L21" i="104"/>
  <c r="K21" i="104"/>
  <c r="J21" i="104"/>
  <c r="I21" i="104"/>
  <c r="N20" i="104"/>
  <c r="M20" i="104"/>
  <c r="L20" i="104"/>
  <c r="K20" i="104"/>
  <c r="J20" i="104"/>
  <c r="I20" i="104"/>
  <c r="H21" i="104"/>
  <c r="H20" i="104"/>
  <c r="A24" i="112" l="1"/>
  <c r="A23" i="112"/>
  <c r="A22" i="112"/>
  <c r="A21" i="112"/>
  <c r="A20" i="112"/>
  <c r="R32" i="102"/>
  <c r="P27" i="102"/>
  <c r="P24" i="102"/>
  <c r="I17" i="110" l="1"/>
  <c r="I16" i="110"/>
  <c r="I15" i="110"/>
  <c r="I14" i="110"/>
  <c r="I13" i="110"/>
  <c r="I12" i="110"/>
  <c r="I11" i="110"/>
  <c r="I10" i="110"/>
  <c r="I9" i="110"/>
  <c r="I8" i="110"/>
  <c r="I7" i="110"/>
  <c r="I6" i="110"/>
  <c r="I5" i="110"/>
  <c r="I4" i="110"/>
  <c r="I3" i="110"/>
  <c r="G17" i="110"/>
  <c r="G16" i="110"/>
  <c r="G15" i="110"/>
  <c r="G14" i="110"/>
  <c r="G13" i="110"/>
  <c r="G12" i="110"/>
  <c r="G11" i="110"/>
  <c r="G10" i="110"/>
  <c r="G9" i="110"/>
  <c r="G8" i="110"/>
  <c r="G7" i="110"/>
  <c r="G6" i="110"/>
  <c r="G5" i="110"/>
  <c r="G4" i="110"/>
  <c r="G19" i="110" s="1"/>
  <c r="G17" i="108"/>
  <c r="G16" i="108"/>
  <c r="G15" i="108"/>
  <c r="G14" i="108"/>
  <c r="G13" i="108"/>
  <c r="G12" i="108"/>
  <c r="G11" i="108"/>
  <c r="G10" i="108"/>
  <c r="G9" i="108"/>
  <c r="G8" i="108"/>
  <c r="G7" i="108"/>
  <c r="G6" i="108"/>
  <c r="G5" i="108"/>
  <c r="G4" i="108"/>
  <c r="G20" i="108"/>
  <c r="G3" i="110"/>
  <c r="G3" i="108"/>
  <c r="E17" i="110"/>
  <c r="C19" i="110"/>
  <c r="E4" i="110"/>
  <c r="E14" i="108"/>
  <c r="E10" i="108"/>
  <c r="E6" i="108"/>
  <c r="C19" i="108"/>
  <c r="G20" i="110"/>
  <c r="H17" i="110"/>
  <c r="H16" i="110"/>
  <c r="H15" i="110"/>
  <c r="H14" i="110"/>
  <c r="H13" i="110"/>
  <c r="H12" i="110"/>
  <c r="H11" i="110"/>
  <c r="H10" i="110"/>
  <c r="H9" i="110"/>
  <c r="H8" i="110"/>
  <c r="H7" i="110"/>
  <c r="H6" i="110"/>
  <c r="H5" i="110"/>
  <c r="H4" i="110"/>
  <c r="H3" i="110"/>
  <c r="D22" i="110"/>
  <c r="D21" i="110"/>
  <c r="C21" i="110"/>
  <c r="D20" i="110"/>
  <c r="D19" i="110"/>
  <c r="F17" i="110"/>
  <c r="F16" i="110"/>
  <c r="E16" i="110"/>
  <c r="F15" i="110"/>
  <c r="E15" i="110"/>
  <c r="F14" i="110"/>
  <c r="E14" i="110"/>
  <c r="F13" i="110"/>
  <c r="E13" i="110"/>
  <c r="F12" i="110"/>
  <c r="E12" i="110"/>
  <c r="F11" i="110"/>
  <c r="E11" i="110"/>
  <c r="F10" i="110"/>
  <c r="F9" i="110"/>
  <c r="E9" i="110"/>
  <c r="F8" i="110"/>
  <c r="E8" i="110"/>
  <c r="F7" i="110"/>
  <c r="E7" i="110"/>
  <c r="F6" i="110"/>
  <c r="E6" i="110"/>
  <c r="F5" i="110"/>
  <c r="E5" i="110"/>
  <c r="F4" i="110"/>
  <c r="F3" i="110"/>
  <c r="E3" i="110"/>
  <c r="D22" i="108"/>
  <c r="H21" i="108"/>
  <c r="D21" i="108"/>
  <c r="C21" i="108"/>
  <c r="H20" i="108"/>
  <c r="D20" i="108"/>
  <c r="C20" i="108"/>
  <c r="H19" i="108"/>
  <c r="D19" i="108"/>
  <c r="F17" i="108"/>
  <c r="E17" i="108"/>
  <c r="F16" i="108"/>
  <c r="E16" i="108"/>
  <c r="F15" i="108"/>
  <c r="E15" i="108"/>
  <c r="F14" i="108"/>
  <c r="F13" i="108"/>
  <c r="E13" i="108"/>
  <c r="F12" i="108"/>
  <c r="E12" i="108"/>
  <c r="F11" i="108"/>
  <c r="E11" i="108"/>
  <c r="F10" i="108"/>
  <c r="F9" i="108"/>
  <c r="E9" i="108"/>
  <c r="F8" i="108"/>
  <c r="E8" i="108"/>
  <c r="F7" i="108"/>
  <c r="E7" i="108"/>
  <c r="F6" i="108"/>
  <c r="F5" i="108"/>
  <c r="E5" i="108"/>
  <c r="F4" i="108"/>
  <c r="E4" i="108"/>
  <c r="F3" i="108"/>
  <c r="E3" i="108"/>
  <c r="K7" i="105"/>
  <c r="V16" i="107"/>
  <c r="U16" i="107"/>
  <c r="T16" i="107"/>
  <c r="S16" i="107"/>
  <c r="R16" i="107"/>
  <c r="Q16" i="107"/>
  <c r="O16" i="107"/>
  <c r="P16" i="107" s="1"/>
  <c r="M16" i="107"/>
  <c r="L16" i="107" s="1"/>
  <c r="H16" i="107"/>
  <c r="G16" i="107"/>
  <c r="D16" i="107"/>
  <c r="C16" i="107"/>
  <c r="B16" i="107"/>
  <c r="V15" i="107"/>
  <c r="U15" i="107"/>
  <c r="T15" i="107"/>
  <c r="S15" i="107"/>
  <c r="R15" i="107"/>
  <c r="Q15" i="107"/>
  <c r="O15" i="107"/>
  <c r="P15" i="107" s="1"/>
  <c r="M15" i="107"/>
  <c r="L15" i="107" s="1"/>
  <c r="H15" i="107"/>
  <c r="G15" i="107"/>
  <c r="D15" i="107"/>
  <c r="C15" i="107"/>
  <c r="B15" i="107"/>
  <c r="V14" i="107"/>
  <c r="U14" i="107"/>
  <c r="T14" i="107"/>
  <c r="S14" i="107"/>
  <c r="R14" i="107"/>
  <c r="Q14" i="107"/>
  <c r="P14" i="107"/>
  <c r="O14" i="107"/>
  <c r="M14" i="107"/>
  <c r="L14" i="107" s="1"/>
  <c r="H14" i="107"/>
  <c r="G14" i="107"/>
  <c r="D14" i="107"/>
  <c r="C14" i="107"/>
  <c r="B14" i="107"/>
  <c r="V13" i="107"/>
  <c r="U13" i="107"/>
  <c r="T13" i="107"/>
  <c r="S13" i="107"/>
  <c r="R13" i="107"/>
  <c r="Q13" i="107"/>
  <c r="O13" i="107"/>
  <c r="P13" i="107" s="1"/>
  <c r="M13" i="107"/>
  <c r="L13" i="107" s="1"/>
  <c r="H13" i="107"/>
  <c r="G13" i="107"/>
  <c r="D13" i="107"/>
  <c r="C13" i="107"/>
  <c r="B13" i="107"/>
  <c r="V12" i="107"/>
  <c r="U12" i="107"/>
  <c r="T12" i="107"/>
  <c r="S12" i="107"/>
  <c r="R12" i="107"/>
  <c r="Q12" i="107"/>
  <c r="P12" i="107"/>
  <c r="O12" i="107"/>
  <c r="M12" i="107"/>
  <c r="L12" i="107" s="1"/>
  <c r="H12" i="107"/>
  <c r="G12" i="107"/>
  <c r="D12" i="107"/>
  <c r="C12" i="107"/>
  <c r="B12" i="107"/>
  <c r="V11" i="107"/>
  <c r="U11" i="107"/>
  <c r="T11" i="107"/>
  <c r="S11" i="107"/>
  <c r="R11" i="107"/>
  <c r="Q11" i="107"/>
  <c r="O11" i="107"/>
  <c r="P11" i="107" s="1"/>
  <c r="M11" i="107"/>
  <c r="L11" i="107" s="1"/>
  <c r="H11" i="107"/>
  <c r="G11" i="107"/>
  <c r="D11" i="107"/>
  <c r="C11" i="107"/>
  <c r="B11" i="107"/>
  <c r="V10" i="107"/>
  <c r="U10" i="107"/>
  <c r="T10" i="107"/>
  <c r="S10" i="107"/>
  <c r="R10" i="107"/>
  <c r="Q10" i="107"/>
  <c r="O10" i="107"/>
  <c r="P10" i="107" s="1"/>
  <c r="M10" i="107"/>
  <c r="L10" i="107" s="1"/>
  <c r="H10" i="107"/>
  <c r="G10" i="107"/>
  <c r="D10" i="107"/>
  <c r="C10" i="107"/>
  <c r="B10" i="107"/>
  <c r="V9" i="107"/>
  <c r="U9" i="107"/>
  <c r="T9" i="107"/>
  <c r="S9" i="107"/>
  <c r="R9" i="107"/>
  <c r="Q9" i="107"/>
  <c r="O9" i="107"/>
  <c r="P9" i="107" s="1"/>
  <c r="M9" i="107"/>
  <c r="L9" i="107" s="1"/>
  <c r="H9" i="107"/>
  <c r="G9" i="107"/>
  <c r="D9" i="107"/>
  <c r="C9" i="107"/>
  <c r="B9" i="107"/>
  <c r="V8" i="107"/>
  <c r="U8" i="107"/>
  <c r="T8" i="107"/>
  <c r="S8" i="107"/>
  <c r="R8" i="107"/>
  <c r="Q8" i="107"/>
  <c r="O8" i="107"/>
  <c r="P8" i="107" s="1"/>
  <c r="M8" i="107"/>
  <c r="L8" i="107" s="1"/>
  <c r="H8" i="107"/>
  <c r="G8" i="107"/>
  <c r="D8" i="107"/>
  <c r="C8" i="107"/>
  <c r="B8" i="107"/>
  <c r="V7" i="107"/>
  <c r="U7" i="107"/>
  <c r="T7" i="107"/>
  <c r="S7" i="107"/>
  <c r="R7" i="107"/>
  <c r="Q7" i="107"/>
  <c r="O7" i="107"/>
  <c r="P7" i="107" s="1"/>
  <c r="M7" i="107"/>
  <c r="L7" i="107" s="1"/>
  <c r="H7" i="107"/>
  <c r="G7" i="107"/>
  <c r="D7" i="107"/>
  <c r="C7" i="107"/>
  <c r="B7" i="107"/>
  <c r="V6" i="107"/>
  <c r="U6" i="107"/>
  <c r="T6" i="107"/>
  <c r="S6" i="107"/>
  <c r="R6" i="107"/>
  <c r="Q6" i="107"/>
  <c r="O6" i="107"/>
  <c r="P6" i="107" s="1"/>
  <c r="M6" i="107"/>
  <c r="L6" i="107" s="1"/>
  <c r="H6" i="107"/>
  <c r="G6" i="107"/>
  <c r="D6" i="107"/>
  <c r="C6" i="107"/>
  <c r="B6" i="107"/>
  <c r="V5" i="107"/>
  <c r="U5" i="107"/>
  <c r="T5" i="107"/>
  <c r="S5" i="107"/>
  <c r="R5" i="107"/>
  <c r="Q5" i="107"/>
  <c r="O5" i="107"/>
  <c r="P5" i="107" s="1"/>
  <c r="M5" i="107"/>
  <c r="L5" i="107" s="1"/>
  <c r="H5" i="107"/>
  <c r="G5" i="107"/>
  <c r="D5" i="107"/>
  <c r="C5" i="107"/>
  <c r="B5" i="107"/>
  <c r="V4" i="107"/>
  <c r="U4" i="107"/>
  <c r="T4" i="107"/>
  <c r="S4" i="107"/>
  <c r="R4" i="107"/>
  <c r="Q4" i="107"/>
  <c r="O4" i="107"/>
  <c r="P4" i="107" s="1"/>
  <c r="M4" i="107"/>
  <c r="L4" i="107" s="1"/>
  <c r="H4" i="107"/>
  <c r="G4" i="107"/>
  <c r="D4" i="107"/>
  <c r="C4" i="107"/>
  <c r="B4" i="107"/>
  <c r="V16" i="105"/>
  <c r="U16" i="105"/>
  <c r="T16" i="105"/>
  <c r="S16" i="105"/>
  <c r="R16" i="105"/>
  <c r="Q16" i="105"/>
  <c r="M16" i="105"/>
  <c r="L16" i="105" s="1"/>
  <c r="I16" i="105" s="1"/>
  <c r="H16" i="105"/>
  <c r="G16" i="105"/>
  <c r="D16" i="105"/>
  <c r="C16" i="105"/>
  <c r="B16" i="105"/>
  <c r="V15" i="105"/>
  <c r="U15" i="105"/>
  <c r="T15" i="105"/>
  <c r="S15" i="105"/>
  <c r="R15" i="105"/>
  <c r="Q15" i="105"/>
  <c r="M15" i="105"/>
  <c r="L15" i="105" s="1"/>
  <c r="H15" i="105"/>
  <c r="G15" i="105"/>
  <c r="D15" i="105"/>
  <c r="C15" i="105"/>
  <c r="B15" i="105"/>
  <c r="V14" i="105"/>
  <c r="U14" i="105"/>
  <c r="T14" i="105"/>
  <c r="S14" i="105"/>
  <c r="R14" i="105"/>
  <c r="Q14" i="105"/>
  <c r="M14" i="105"/>
  <c r="L14" i="105" s="1"/>
  <c r="H14" i="105"/>
  <c r="G14" i="105"/>
  <c r="D14" i="105"/>
  <c r="C14" i="105"/>
  <c r="B14" i="105"/>
  <c r="V13" i="105"/>
  <c r="U13" i="105"/>
  <c r="T13" i="105"/>
  <c r="S13" i="105"/>
  <c r="R13" i="105"/>
  <c r="Q13" i="105"/>
  <c r="M13" i="105"/>
  <c r="L13" i="105" s="1"/>
  <c r="H13" i="105"/>
  <c r="G13" i="105"/>
  <c r="D13" i="105"/>
  <c r="C13" i="105"/>
  <c r="B13" i="105"/>
  <c r="V12" i="105"/>
  <c r="U12" i="105"/>
  <c r="T12" i="105"/>
  <c r="S12" i="105"/>
  <c r="R12" i="105"/>
  <c r="Q12" i="105"/>
  <c r="M12" i="105"/>
  <c r="L12" i="105" s="1"/>
  <c r="H12" i="105"/>
  <c r="G12" i="105"/>
  <c r="D12" i="105"/>
  <c r="C12" i="105"/>
  <c r="B12" i="105"/>
  <c r="V11" i="105"/>
  <c r="U11" i="105"/>
  <c r="T11" i="105"/>
  <c r="S11" i="105"/>
  <c r="R11" i="105"/>
  <c r="Q11" i="105"/>
  <c r="M11" i="105"/>
  <c r="L11" i="105"/>
  <c r="I11" i="105" s="1"/>
  <c r="H11" i="105"/>
  <c r="G11" i="105"/>
  <c r="D11" i="105"/>
  <c r="C11" i="105"/>
  <c r="B11" i="105"/>
  <c r="V10" i="105"/>
  <c r="U10" i="105"/>
  <c r="T10" i="105"/>
  <c r="S10" i="105"/>
  <c r="R10" i="105"/>
  <c r="Q10" i="105"/>
  <c r="M10" i="105"/>
  <c r="L10" i="105" s="1"/>
  <c r="H10" i="105"/>
  <c r="G10" i="105"/>
  <c r="D10" i="105"/>
  <c r="C10" i="105"/>
  <c r="B10" i="105"/>
  <c r="V9" i="105"/>
  <c r="U9" i="105"/>
  <c r="T9" i="105"/>
  <c r="S9" i="105"/>
  <c r="R9" i="105"/>
  <c r="Q9" i="105"/>
  <c r="M9" i="105"/>
  <c r="L9" i="105"/>
  <c r="K9" i="105" s="1"/>
  <c r="H9" i="105"/>
  <c r="G9" i="105"/>
  <c r="D9" i="105"/>
  <c r="C9" i="105"/>
  <c r="B9" i="105"/>
  <c r="V8" i="105"/>
  <c r="U8" i="105"/>
  <c r="T8" i="105"/>
  <c r="S8" i="105"/>
  <c r="R8" i="105"/>
  <c r="Q8" i="105"/>
  <c r="M8" i="105"/>
  <c r="L8" i="105" s="1"/>
  <c r="I8" i="105" s="1"/>
  <c r="H8" i="105"/>
  <c r="G8" i="105"/>
  <c r="D8" i="105"/>
  <c r="C8" i="105"/>
  <c r="B8" i="105"/>
  <c r="V7" i="105"/>
  <c r="U7" i="105"/>
  <c r="T7" i="105"/>
  <c r="S7" i="105"/>
  <c r="R7" i="105"/>
  <c r="Q7" i="105"/>
  <c r="M7" i="105"/>
  <c r="L7" i="105"/>
  <c r="H7" i="105"/>
  <c r="G7" i="105"/>
  <c r="D7" i="105"/>
  <c r="C7" i="105"/>
  <c r="B7" i="105"/>
  <c r="V6" i="105"/>
  <c r="U6" i="105"/>
  <c r="T6" i="105"/>
  <c r="S6" i="105"/>
  <c r="R6" i="105"/>
  <c r="Q6" i="105"/>
  <c r="M6" i="105"/>
  <c r="L6" i="105" s="1"/>
  <c r="H6" i="105"/>
  <c r="G6" i="105"/>
  <c r="D6" i="105"/>
  <c r="C6" i="105"/>
  <c r="B6" i="105"/>
  <c r="V5" i="105"/>
  <c r="U5" i="105"/>
  <c r="T5" i="105"/>
  <c r="S5" i="105"/>
  <c r="R5" i="105"/>
  <c r="Q5" i="105"/>
  <c r="M5" i="105"/>
  <c r="L5" i="105" s="1"/>
  <c r="H5" i="105"/>
  <c r="G5" i="105"/>
  <c r="D5" i="105"/>
  <c r="C5" i="105"/>
  <c r="B5" i="105"/>
  <c r="V4" i="105"/>
  <c r="U4" i="105"/>
  <c r="T4" i="105"/>
  <c r="S4" i="105"/>
  <c r="R4" i="105"/>
  <c r="Q4" i="105"/>
  <c r="M4" i="105"/>
  <c r="L4" i="105" s="1"/>
  <c r="H4" i="105"/>
  <c r="G4" i="105"/>
  <c r="D4" i="105"/>
  <c r="C4" i="105"/>
  <c r="B4" i="105"/>
  <c r="C42" i="102"/>
  <c r="R39" i="102"/>
  <c r="R38" i="102"/>
  <c r="C37" i="102"/>
  <c r="M30" i="102"/>
  <c r="L30" i="102"/>
  <c r="J30" i="102"/>
  <c r="I30" i="102"/>
  <c r="H30" i="102"/>
  <c r="D30" i="102"/>
  <c r="C30" i="102"/>
  <c r="M29" i="102"/>
  <c r="L29" i="102"/>
  <c r="J29" i="102"/>
  <c r="I29" i="102"/>
  <c r="H29" i="102"/>
  <c r="D29" i="102"/>
  <c r="C29" i="102"/>
  <c r="M28" i="102"/>
  <c r="L28" i="102" s="1"/>
  <c r="J28" i="102"/>
  <c r="I28" i="102"/>
  <c r="H28" i="102"/>
  <c r="D28" i="102"/>
  <c r="M27" i="102"/>
  <c r="L27" i="102"/>
  <c r="J27" i="102"/>
  <c r="I27" i="102"/>
  <c r="H27" i="102"/>
  <c r="C27" i="102"/>
  <c r="M26" i="102"/>
  <c r="L26" i="102"/>
  <c r="J26" i="102"/>
  <c r="I26" i="102"/>
  <c r="H26" i="102"/>
  <c r="C26" i="102"/>
  <c r="M25" i="102"/>
  <c r="L25" i="102"/>
  <c r="J25" i="102"/>
  <c r="I25" i="102"/>
  <c r="H25" i="102"/>
  <c r="M24" i="102"/>
  <c r="L24" i="102"/>
  <c r="J24" i="102"/>
  <c r="I24" i="102"/>
  <c r="H24" i="102"/>
  <c r="M23" i="102"/>
  <c r="L23" i="102"/>
  <c r="J23" i="102"/>
  <c r="I23" i="102"/>
  <c r="H23" i="102"/>
  <c r="M22" i="102"/>
  <c r="L22" i="102"/>
  <c r="J22" i="102"/>
  <c r="I22" i="102"/>
  <c r="H22" i="102"/>
  <c r="M19" i="102"/>
  <c r="L19" i="102"/>
  <c r="J19" i="102"/>
  <c r="I19" i="102"/>
  <c r="H19" i="102"/>
  <c r="M18" i="102"/>
  <c r="L18" i="102"/>
  <c r="J18" i="102"/>
  <c r="I18" i="102"/>
  <c r="H18" i="102"/>
  <c r="M17" i="102"/>
  <c r="L17" i="102"/>
  <c r="J17" i="102"/>
  <c r="I17" i="102"/>
  <c r="H17" i="102"/>
  <c r="M16" i="102"/>
  <c r="L16" i="102"/>
  <c r="J16" i="102"/>
  <c r="I16" i="102"/>
  <c r="H16" i="102"/>
  <c r="M15" i="102"/>
  <c r="L15" i="102"/>
  <c r="J15" i="102"/>
  <c r="I15" i="102"/>
  <c r="H15" i="102"/>
  <c r="N6" i="102"/>
  <c r="R6" i="102" s="1"/>
  <c r="K6" i="102"/>
  <c r="N4" i="102"/>
  <c r="O4" i="102" s="1"/>
  <c r="P4" i="102" s="1"/>
  <c r="K4" i="102"/>
  <c r="R37" i="102" s="1"/>
  <c r="O9" i="102"/>
  <c r="P9" i="102" s="1"/>
  <c r="N9" i="102"/>
  <c r="R9" i="102" s="1"/>
  <c r="K9" i="102"/>
  <c r="G21" i="110" l="1"/>
  <c r="G19" i="108"/>
  <c r="G21" i="108"/>
  <c r="E10" i="110"/>
  <c r="E19" i="110" s="1"/>
  <c r="C20" i="110"/>
  <c r="I21" i="108"/>
  <c r="I15" i="105"/>
  <c r="K15" i="105"/>
  <c r="I5" i="105"/>
  <c r="K5" i="105"/>
  <c r="I13" i="105"/>
  <c r="K13" i="105"/>
  <c r="K11" i="105"/>
  <c r="R40" i="102"/>
  <c r="I4" i="105"/>
  <c r="I7" i="105"/>
  <c r="F8" i="105"/>
  <c r="E8" i="105" s="1"/>
  <c r="F11" i="105"/>
  <c r="E11" i="105" s="1"/>
  <c r="O11" i="105" s="1"/>
  <c r="P11" i="105" s="1"/>
  <c r="I12" i="105"/>
  <c r="F16" i="105"/>
  <c r="E16" i="105" s="1"/>
  <c r="I5" i="107"/>
  <c r="F5" i="107" s="1"/>
  <c r="I7" i="107"/>
  <c r="F7" i="107" s="1"/>
  <c r="I9" i="107"/>
  <c r="F9" i="107" s="1"/>
  <c r="I11" i="107"/>
  <c r="F11" i="107" s="1"/>
  <c r="I13" i="107"/>
  <c r="F13" i="107" s="1"/>
  <c r="I15" i="107"/>
  <c r="F15" i="107" s="1"/>
  <c r="K4" i="105"/>
  <c r="E21" i="108"/>
  <c r="H20" i="110"/>
  <c r="F7" i="105"/>
  <c r="E7" i="105" s="1"/>
  <c r="O7" i="105" s="1"/>
  <c r="F12" i="105"/>
  <c r="E12" i="105" s="1"/>
  <c r="F15" i="105"/>
  <c r="E15" i="105" s="1"/>
  <c r="O15" i="105" s="1"/>
  <c r="Q9" i="102"/>
  <c r="R4" i="102"/>
  <c r="Q4" i="102" s="1"/>
  <c r="F9" i="105"/>
  <c r="E9" i="105" s="1"/>
  <c r="O9" i="105" s="1"/>
  <c r="I10" i="105"/>
  <c r="F10" i="105" s="1"/>
  <c r="E10" i="105" s="1"/>
  <c r="O10" i="105" s="1"/>
  <c r="P10" i="105" s="1"/>
  <c r="I4" i="107"/>
  <c r="F4" i="107" s="1"/>
  <c r="I6" i="107"/>
  <c r="F6" i="107" s="1"/>
  <c r="I8" i="107"/>
  <c r="F8" i="107" s="1"/>
  <c r="I10" i="107"/>
  <c r="F10" i="107" s="1"/>
  <c r="I12" i="107"/>
  <c r="F12" i="107" s="1"/>
  <c r="I14" i="107"/>
  <c r="F14" i="107" s="1"/>
  <c r="I16" i="107"/>
  <c r="F16" i="107" s="1"/>
  <c r="K16" i="105"/>
  <c r="K12" i="105"/>
  <c r="K8" i="105"/>
  <c r="E20" i="108"/>
  <c r="F4" i="105"/>
  <c r="E4" i="105" s="1"/>
  <c r="O4" i="105" s="1"/>
  <c r="P4" i="105" s="1"/>
  <c r="H19" i="110"/>
  <c r="F5" i="105"/>
  <c r="E5" i="105" s="1"/>
  <c r="O5" i="105" s="1"/>
  <c r="P5" i="105" s="1"/>
  <c r="I6" i="105"/>
  <c r="F6" i="105" s="1"/>
  <c r="E6" i="105" s="1"/>
  <c r="O6" i="105" s="1"/>
  <c r="P6" i="105" s="1"/>
  <c r="I9" i="105"/>
  <c r="F13" i="105"/>
  <c r="E13" i="105" s="1"/>
  <c r="O13" i="105" s="1"/>
  <c r="P13" i="105" s="1"/>
  <c r="I14" i="105"/>
  <c r="F14" i="105" s="1"/>
  <c r="E14" i="105" s="1"/>
  <c r="O14" i="105" s="1"/>
  <c r="P14" i="105" s="1"/>
  <c r="K14" i="105"/>
  <c r="K10" i="105"/>
  <c r="K6" i="105"/>
  <c r="I20" i="108"/>
  <c r="H21" i="110"/>
  <c r="I21" i="110"/>
  <c r="E19" i="108"/>
  <c r="I19" i="108"/>
  <c r="P7" i="105"/>
  <c r="P9" i="105"/>
  <c r="P15" i="105"/>
  <c r="O5" i="102"/>
  <c r="P5" i="102" s="1"/>
  <c r="N5" i="102"/>
  <c r="R5" i="102" s="1"/>
  <c r="K5" i="102"/>
  <c r="P12" i="102"/>
  <c r="O12" i="102"/>
  <c r="N12" i="102"/>
  <c r="R12" i="102" s="1"/>
  <c r="Q12" i="102" s="1"/>
  <c r="K12" i="102"/>
  <c r="R13" i="102"/>
  <c r="N13" i="102"/>
  <c r="O13" i="102" s="1"/>
  <c r="P13" i="102" s="1"/>
  <c r="K13" i="102"/>
  <c r="N11" i="102"/>
  <c r="R11" i="102" s="1"/>
  <c r="K11" i="102"/>
  <c r="N8" i="102"/>
  <c r="R8" i="102" s="1"/>
  <c r="K8" i="102"/>
  <c r="N7" i="102"/>
  <c r="R7" i="102" s="1"/>
  <c r="K7" i="102"/>
  <c r="O10" i="102"/>
  <c r="P10" i="102" s="1"/>
  <c r="N10" i="102"/>
  <c r="R10" i="102" s="1"/>
  <c r="K10" i="102"/>
  <c r="Q10" i="102" l="1"/>
  <c r="E20" i="110"/>
  <c r="E21" i="110"/>
  <c r="I19" i="110"/>
  <c r="O8" i="105"/>
  <c r="P8" i="105" s="1"/>
  <c r="K28" i="102"/>
  <c r="K24" i="102"/>
  <c r="K27" i="102"/>
  <c r="K17" i="102"/>
  <c r="K22" i="102"/>
  <c r="K18" i="102"/>
  <c r="K15" i="102"/>
  <c r="K16" i="102"/>
  <c r="K30" i="102"/>
  <c r="K23" i="102"/>
  <c r="K19" i="102"/>
  <c r="K25" i="102"/>
  <c r="O12" i="105"/>
  <c r="P12" i="105" s="1"/>
  <c r="O16" i="105"/>
  <c r="P16" i="105" s="1"/>
  <c r="O11" i="102"/>
  <c r="P11" i="102" s="1"/>
  <c r="N30" i="102"/>
  <c r="N23" i="102"/>
  <c r="N19" i="102"/>
  <c r="N16" i="102"/>
  <c r="N28" i="102"/>
  <c r="N27" i="102"/>
  <c r="N25" i="102"/>
  <c r="N17" i="102"/>
  <c r="N15" i="102"/>
  <c r="T102" i="102"/>
  <c r="N22" i="102"/>
  <c r="N18" i="102"/>
  <c r="N24" i="102"/>
  <c r="K29" i="102"/>
  <c r="K26" i="102"/>
  <c r="Q5" i="102"/>
  <c r="I20" i="110"/>
  <c r="N26" i="102"/>
  <c r="N29" i="102"/>
  <c r="Q13" i="102"/>
  <c r="C42" i="104"/>
  <c r="C37" i="104"/>
  <c r="M30" i="104"/>
  <c r="L30" i="104"/>
  <c r="J30" i="104"/>
  <c r="I30" i="104"/>
  <c r="H30" i="104"/>
  <c r="D30" i="104"/>
  <c r="C30" i="104"/>
  <c r="M29" i="104"/>
  <c r="L29" i="104"/>
  <c r="J29" i="104"/>
  <c r="I29" i="104"/>
  <c r="H29" i="104"/>
  <c r="D29" i="104"/>
  <c r="C29" i="104"/>
  <c r="M28" i="104"/>
  <c r="L28" i="104"/>
  <c r="J28" i="104"/>
  <c r="I28" i="104"/>
  <c r="H28" i="104"/>
  <c r="D28" i="104"/>
  <c r="M27" i="104"/>
  <c r="L27" i="104"/>
  <c r="J27" i="104"/>
  <c r="I27" i="104"/>
  <c r="H27" i="104"/>
  <c r="C27" i="104"/>
  <c r="M26" i="104"/>
  <c r="L26" i="104"/>
  <c r="J26" i="104"/>
  <c r="I26" i="104"/>
  <c r="H26" i="104"/>
  <c r="C26" i="104"/>
  <c r="M25" i="104"/>
  <c r="L25" i="104"/>
  <c r="J25" i="104"/>
  <c r="I25" i="104"/>
  <c r="H25" i="104"/>
  <c r="M24" i="104"/>
  <c r="L24" i="104"/>
  <c r="J24" i="104"/>
  <c r="I24" i="104"/>
  <c r="H24" i="104"/>
  <c r="M23" i="104"/>
  <c r="L23" i="104"/>
  <c r="J23" i="104"/>
  <c r="I23" i="104"/>
  <c r="H23" i="104"/>
  <c r="M22" i="104"/>
  <c r="L22" i="104"/>
  <c r="J22" i="104"/>
  <c r="I22" i="104"/>
  <c r="H22" i="104"/>
  <c r="M19" i="104"/>
  <c r="L19" i="104"/>
  <c r="J19" i="104"/>
  <c r="I19" i="104"/>
  <c r="H19" i="104"/>
  <c r="M18" i="104"/>
  <c r="L18" i="104"/>
  <c r="J18" i="104"/>
  <c r="I18" i="104"/>
  <c r="H18" i="104"/>
  <c r="M17" i="104"/>
  <c r="L17" i="104"/>
  <c r="J17" i="104"/>
  <c r="I17" i="104"/>
  <c r="H17" i="104"/>
  <c r="Q11" i="102" l="1"/>
  <c r="T94" i="102"/>
  <c r="M16" i="104"/>
  <c r="L16" i="104"/>
  <c r="J16" i="104"/>
  <c r="I16" i="104"/>
  <c r="H16" i="104"/>
  <c r="M15" i="104"/>
  <c r="L15" i="104"/>
  <c r="J15" i="104"/>
  <c r="I15" i="104"/>
  <c r="H15" i="104"/>
  <c r="Q13" i="104"/>
  <c r="O13" i="104"/>
  <c r="P13" i="104" s="1"/>
  <c r="N13" i="104"/>
  <c r="K13" i="104"/>
  <c r="O12" i="104"/>
  <c r="Q12" i="104" s="1"/>
  <c r="N12" i="104"/>
  <c r="R12" i="104" s="1"/>
  <c r="K12" i="104"/>
  <c r="N11" i="104"/>
  <c r="O11" i="104" s="1"/>
  <c r="K11" i="104"/>
  <c r="Q10" i="104"/>
  <c r="O10" i="104"/>
  <c r="P10" i="104" s="1"/>
  <c r="N10" i="104"/>
  <c r="K10" i="104"/>
  <c r="N9" i="104"/>
  <c r="O9" i="104" s="1"/>
  <c r="K9" i="104"/>
  <c r="O8" i="104"/>
  <c r="Q8" i="104" s="1"/>
  <c r="N8" i="104"/>
  <c r="K8" i="104"/>
  <c r="N7" i="104"/>
  <c r="O7" i="104" s="1"/>
  <c r="K7" i="104"/>
  <c r="P7" i="104" l="1"/>
  <c r="Q7" i="104"/>
  <c r="Q9" i="104"/>
  <c r="P9" i="104"/>
  <c r="P11" i="104"/>
  <c r="Q11" i="104"/>
  <c r="P8" i="104"/>
  <c r="R10" i="104"/>
  <c r="P12" i="104"/>
  <c r="R13" i="104"/>
  <c r="R9" i="104"/>
  <c r="R7" i="104"/>
  <c r="R11" i="104"/>
  <c r="R8" i="104"/>
  <c r="N6" i="104"/>
  <c r="R6" i="104" s="1"/>
  <c r="K6" i="104"/>
  <c r="O5" i="104"/>
  <c r="Q5" i="104" s="1"/>
  <c r="N5" i="104"/>
  <c r="K5" i="104"/>
  <c r="N4" i="104"/>
  <c r="K4" i="104"/>
  <c r="K24" i="104" l="1"/>
  <c r="K23" i="104"/>
  <c r="K25" i="104"/>
  <c r="K17" i="104"/>
  <c r="K22" i="104"/>
  <c r="K18" i="104"/>
  <c r="K19" i="104"/>
  <c r="K30" i="104"/>
  <c r="K28" i="104"/>
  <c r="K16" i="104"/>
  <c r="K15" i="104"/>
  <c r="K27" i="104"/>
  <c r="T102" i="104"/>
  <c r="N23" i="104"/>
  <c r="N19" i="104"/>
  <c r="N24" i="104"/>
  <c r="N17" i="104"/>
  <c r="N28" i="104"/>
  <c r="N22" i="104"/>
  <c r="N25" i="104"/>
  <c r="N30" i="104"/>
  <c r="N27" i="104"/>
  <c r="N18" i="104"/>
  <c r="N15" i="104"/>
  <c r="N16" i="104"/>
  <c r="R4" i="104"/>
  <c r="P5" i="104"/>
  <c r="O4" i="104"/>
  <c r="K26" i="104"/>
  <c r="K29" i="104"/>
  <c r="N26" i="104"/>
  <c r="N29" i="104"/>
  <c r="R5" i="104"/>
  <c r="P4" i="104" l="1"/>
  <c r="Q4" i="104"/>
  <c r="T94" i="104"/>
  <c r="O6" i="104"/>
  <c r="P6" i="104"/>
  <c r="Q6" i="104"/>
  <c r="O7" i="102"/>
  <c r="P7" i="102" s="1"/>
  <c r="O8" i="102"/>
  <c r="Q8" i="102" s="1"/>
  <c r="O6" i="102"/>
  <c r="Q6" i="102" s="1"/>
  <c r="P6" i="102"/>
  <c r="P8" i="102" l="1"/>
  <c r="Q7" i="102"/>
</calcChain>
</file>

<file path=xl/comments1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דרך אחרת להגדרת הקריטריון בשיעור 6, סעיף 11
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דרך אחרת להגדרת הקריטריון בשיעור 6, סעיף 11
</t>
        </r>
      </text>
    </comment>
  </commentList>
</comments>
</file>

<file path=xl/comments3.xml><?xml version="1.0" encoding="utf-8"?>
<comments xmlns="http://schemas.openxmlformats.org/spreadsheetml/2006/main">
  <authors>
    <author>Shy Shakarov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פתרון מדויק יותר:
=VLOOKUP(D4,$A$19:$F$24,4,1)+VLOOKUP(D4,$A$19:$F$24,3,1)*(D4-ROUND(VLOOKUP(D4,$A$19:$F$24,1,1),0))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 :פתרון מדויק יותר 
=(B19-ROUND(A19,0))*C19</t>
        </r>
      </text>
    </comment>
  </commentList>
</comments>
</file>

<file path=xl/comments4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<sst xmlns="http://schemas.openxmlformats.org/spreadsheetml/2006/main" count="1131" uniqueCount="198">
  <si>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</si>
  <si>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</si>
  <si>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</si>
  <si>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</si>
  <si>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</si>
  <si>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</si>
  <si>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</si>
  <si>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</si>
  <si>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</si>
  <si>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</si>
  <si>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</si>
  <si>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</si>
  <si>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</si>
  <si>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</si>
  <si>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</si>
  <si>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</si>
  <si>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</si>
  <si>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</si>
  <si>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</si>
  <si>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</si>
  <si>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</si>
  <si>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</si>
  <si>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</si>
  <si>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</si>
  <si>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</si>
  <si>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</si>
  <si>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</si>
  <si>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</si>
  <si>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</si>
  <si>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</si>
  <si>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</si>
  <si>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</si>
  <si>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</si>
  <si>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</si>
  <si>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</si>
  <si>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</si>
  <si>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</si>
  <si>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</si>
  <si>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</si>
  <si>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</si>
  <si>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</si>
  <si>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</si>
  <si>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</si>
  <si>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</si>
  <si>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</si>
  <si>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</si>
  <si>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</si>
  <si>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</si>
  <si>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</si>
  <si>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</si>
  <si>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</si>
  <si>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</si>
  <si>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עברו</t>
  </si>
  <si>
    <t>מצטיינים</t>
  </si>
  <si>
    <t>התמחות</t>
  </si>
  <si>
    <t>שיווק</t>
  </si>
  <si>
    <t>סטודנטים</t>
  </si>
  <si>
    <t>סטודנטיות</t>
  </si>
  <si>
    <t>סמלים</t>
  </si>
  <si>
    <t>לא נכשלו</t>
  </si>
  <si>
    <t>מתוכם:</t>
  </si>
  <si>
    <t>&gt;=84.50</t>
  </si>
  <si>
    <t>בממוצע:</t>
  </si>
  <si>
    <t>ממוצע של מקבלי ציון "עובר":</t>
  </si>
  <si>
    <t>התפלגות ציונים סופיים</t>
  </si>
  <si>
    <t>0-59</t>
  </si>
  <si>
    <t>60-74</t>
  </si>
  <si>
    <t>75-84</t>
  </si>
  <si>
    <t>85-94</t>
  </si>
  <si>
    <t>95-100</t>
  </si>
  <si>
    <t>מעל 100</t>
  </si>
  <si>
    <t/>
  </si>
  <si>
    <t>מלגה</t>
  </si>
  <si>
    <t>קריטריונים לסינון מתקדם</t>
  </si>
  <si>
    <t>&gt;=85</t>
  </si>
  <si>
    <t>&lt;60</t>
  </si>
  <si>
    <t>&gt;=60</t>
  </si>
  <si>
    <t>&lt;85</t>
  </si>
  <si>
    <t>י*</t>
  </si>
  <si>
    <t>הזן ת.ז.</t>
  </si>
  <si>
    <t>בחר מידע מבוקש</t>
  </si>
  <si>
    <t>תוצאה:</t>
  </si>
  <si>
    <t>שליפת מידע עם Vlookup</t>
  </si>
  <si>
    <t>שליפת מידע עם index+match</t>
  </si>
  <si>
    <t>יום פרסום המדד:</t>
  </si>
  <si>
    <t>נתוני התשלום</t>
  </si>
  <si>
    <t>נתוני העסקה המקורית</t>
  </si>
  <si>
    <t>סכומים לתשלום</t>
  </si>
  <si>
    <t>הזמן שחלף ממועד העסקה (1)</t>
  </si>
  <si>
    <t>הזמן שחלף ממועד העסקה (2)</t>
  </si>
  <si>
    <t>תאריך התשלום</t>
  </si>
  <si>
    <t>יום בחודש</t>
  </si>
  <si>
    <t>חודש</t>
  </si>
  <si>
    <t>שנה</t>
  </si>
  <si>
    <t>מדד נוכחי בנקודות</t>
  </si>
  <si>
    <t>לחודש</t>
  </si>
  <si>
    <t>חודש פרסום המדד</t>
  </si>
  <si>
    <t>שנת פרסום המדד</t>
  </si>
  <si>
    <t>תאריך פרסום המדד</t>
  </si>
  <si>
    <t>תאריך עסקה</t>
  </si>
  <si>
    <t>מדד ביום העסקה (מדד בסיס)</t>
  </si>
  <si>
    <t>התפרסם ב-</t>
  </si>
  <si>
    <t>סכום עסקה לא צמוד</t>
  </si>
  <si>
    <t>סכום עסקה צמוד</t>
  </si>
  <si>
    <t>הצמדה</t>
  </si>
  <si>
    <t>בשנים</t>
  </si>
  <si>
    <t>בחודשים</t>
  </si>
  <si>
    <t>בימים</t>
  </si>
  <si>
    <t>% שינוי</t>
  </si>
  <si>
    <t>מדד לפי</t>
  </si>
  <si>
    <t>בסיס 1980</t>
  </si>
  <si>
    <t>בסיס 1987</t>
  </si>
  <si>
    <t>בסיס שוטף</t>
  </si>
  <si>
    <t>נעלי ניצן</t>
  </si>
  <si>
    <t>שם הפריט</t>
  </si>
  <si>
    <t>סוג</t>
  </si>
  <si>
    <t>מחיר לצרכן ללא מע"מ</t>
  </si>
  <si>
    <t>כמות במלאי</t>
  </si>
  <si>
    <t>ערך המלאי</t>
  </si>
  <si>
    <t>התראת עודף במלאי</t>
  </si>
  <si>
    <t>שיעור הנחה לצרכן</t>
  </si>
  <si>
    <t>מחיר לצרכן לאחר הנחה כולל מע"מ</t>
  </si>
  <si>
    <t>נייקי 920</t>
  </si>
  <si>
    <t>ריצה נשים</t>
  </si>
  <si>
    <t>ניו בלנס 605</t>
  </si>
  <si>
    <t>ריצה גברים</t>
  </si>
  <si>
    <t>נייקי 815</t>
  </si>
  <si>
    <t>הליכה גברים</t>
  </si>
  <si>
    <t>דיאדורה XL</t>
  </si>
  <si>
    <t>טניס ילדים</t>
  </si>
  <si>
    <t>פומה 6Z</t>
  </si>
  <si>
    <t>נייקי 800</t>
  </si>
  <si>
    <t>ניו בלנס 625</t>
  </si>
  <si>
    <t>דיאדורה KL</t>
  </si>
  <si>
    <t>פומה 13B</t>
  </si>
  <si>
    <t>נייקי 754</t>
  </si>
  <si>
    <t>ניו בלנס 555</t>
  </si>
  <si>
    <t>נייקי 987</t>
  </si>
  <si>
    <t>דיאדורה MW</t>
  </si>
  <si>
    <t>פומה 12C</t>
  </si>
  <si>
    <t>ממוצע</t>
  </si>
  <si>
    <t>הכמות במלאי של פריטים מסוג:</t>
  </si>
  <si>
    <t>סוג מוצר</t>
  </si>
  <si>
    <t>הנחה</t>
  </si>
  <si>
    <t>ריצה ילדים</t>
  </si>
  <si>
    <t>טניס נשים</t>
  </si>
  <si>
    <t>טניס גברים</t>
  </si>
  <si>
    <t>הליכה ילדים</t>
  </si>
  <si>
    <t>הליכה נשים</t>
  </si>
  <si>
    <t>קרוקס</t>
  </si>
  <si>
    <t>תאי עזר</t>
  </si>
  <si>
    <t>מע"מ</t>
  </si>
  <si>
    <t>התראה לעודפי מלאי:</t>
  </si>
  <si>
    <t>מעל כמות</t>
  </si>
  <si>
    <t>תופיע ההודעה</t>
  </si>
  <si>
    <t>מוצר מועדף</t>
  </si>
  <si>
    <t>עלות ללא מע"מ</t>
  </si>
  <si>
    <t>מס מקסימלי למדרגה</t>
  </si>
  <si>
    <t>הכנסה חודשית</t>
  </si>
  <si>
    <t>שיעור המס</t>
  </si>
  <si>
    <t>עד (כולל)</t>
  </si>
  <si>
    <t>מס מצטבר מקסימלי למדרגה</t>
  </si>
  <si>
    <t>מס</t>
  </si>
  <si>
    <t>הכנסה ברוטו</t>
  </si>
  <si>
    <t>שיעור מס הכנסה</t>
  </si>
  <si>
    <t>מס הכנסה</t>
  </si>
  <si>
    <t>הכנסה נטו</t>
  </si>
  <si>
    <t>מס מצטבר על מדרגות קודמות</t>
  </si>
  <si>
    <t>חישובי שכר</t>
  </si>
  <si>
    <t>טבלת מיסוי</t>
  </si>
  <si>
    <t>הציון הסופי בקורס של הסטודנט שת.ז. שלו היא 388923057</t>
  </si>
  <si>
    <t>המיקום של 'טלפון'</t>
  </si>
  <si>
    <t>הזן טלפון</t>
  </si>
  <si>
    <t>מ- (לא כולל)</t>
  </si>
  <si>
    <t>פיזי</t>
  </si>
  <si>
    <t>זיהוי משלם</t>
  </si>
  <si>
    <t>סוג נכס</t>
  </si>
  <si>
    <t>גודל נכס</t>
  </si>
  <si>
    <t>מ (כולל</t>
  </si>
  <si>
    <t>עד (לא כולל)</t>
  </si>
  <si>
    <t>תעריף למ"ר</t>
  </si>
  <si>
    <t>תעריף המס</t>
  </si>
  <si>
    <t>מס עירוני לתשלום</t>
  </si>
  <si>
    <t>רמת תלות</t>
  </si>
  <si>
    <t>מ (כולל)</t>
  </si>
  <si>
    <t>זכאות</t>
  </si>
  <si>
    <t>ערכים</t>
  </si>
  <si>
    <t>תוויות שורה</t>
  </si>
  <si>
    <t>ס"ה הכמות במלאי</t>
  </si>
  <si>
    <t>אחוז מתוך ס"ה הכמות במלאי</t>
  </si>
  <si>
    <t>ממוצע הכמות במלאי</t>
  </si>
  <si>
    <t>ס"ה ערך המלאי</t>
  </si>
  <si>
    <t>ממוצע ערך המלאי</t>
  </si>
  <si>
    <t>סכום כולל</t>
  </si>
  <si>
    <t>תוויות עמודה</t>
  </si>
  <si>
    <t>ממוצע של ציון סופי</t>
  </si>
  <si>
    <t>ממוצע של עלות ללא מע"מ</t>
  </si>
  <si>
    <t>ממוצע של מחיר לצרכן ללא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</si>
</sst>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₪&quot;\ #,##0;[Red]&quot;₪&quot;\ \-#,##0"/>
    <numFmt numFmtId="43" formatCode="_ * #,##0.00_ ;_ * \-#,##0.00_ ;_ * &quot;-&quot;??_ ;_ @_ "/>
    <numFmt numFmtId="164" formatCode="[$-1000000]00000000\-0"/>
    <numFmt numFmtId="165" formatCode="[&lt;=9999999][$-1000000]###\-####;[$-1000000]\(###\)\ ###\-####"/>
    <numFmt numFmtId="166" formatCode="[$-1000000]00000"/>
    <numFmt numFmtId="167" formatCode="0.0"/>
    <numFmt numFmtId="168" formatCode="mm/yyyy"/>
    <numFmt numFmtId="169" formatCode="&quot;₪&quot;\ #,##0"/>
    <numFmt numFmtId="170" formatCode="&quot;₪&quot;\ #,##0.00"/>
    <numFmt numFmtId="171" formatCode="_(&quot;$&quot;* #,##0.00_);_(&quot;$&quot;* \(#,##0.00\);_(&quot;$&quot;* &quot;-&quot;??_);_(@_)"/>
    <numFmt numFmtId="172" formatCode="#,##0_ ;[Red]\-#,##0\ "/>
    <numFmt numFmtId="173" formatCode="#,##0.00_ ;[Red]\-#,##0.00\ "/>
  </numFmts>
  <fonts count="23">
    <font>
      <sz val="10"/>
      <name val="Arial"/>
      <charset val="177"/>
    </font>
    <font>
      <sz val="10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66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5980"/>
      <name val="Arial"/>
      <family val="2"/>
    </font>
    <font>
      <b/>
      <sz val="14"/>
      <color rgb="FF0000FF"/>
      <name val="David"/>
      <family val="2"/>
      <charset val="177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C2D7"/>
        <bgColor indexed="64"/>
      </patternFill>
    </fill>
    <fill>
      <patternFill patternType="solid">
        <fgColor rgb="FFE7EDF2"/>
        <bgColor indexed="64"/>
      </patternFill>
    </fill>
    <fill>
      <patternFill patternType="solid">
        <fgColor rgb="FFFBFFFF"/>
        <bgColor indexed="64"/>
      </patternFill>
    </fill>
  </fills>
  <borders count="59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double">
        <color rgb="FF0066FF"/>
      </right>
      <top style="thin">
        <color rgb="FF0066FF"/>
      </top>
      <bottom/>
      <diagonal/>
    </border>
    <border>
      <left style="double">
        <color rgb="FF0066FF"/>
      </left>
      <right style="thin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double">
        <color rgb="FF0066FF"/>
      </left>
      <right style="thin">
        <color rgb="FF0066FF"/>
      </right>
      <top/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double">
        <color rgb="FF0066FF"/>
      </bottom>
      <diagonal/>
    </border>
    <border>
      <left style="thin">
        <color rgb="FF0066FF"/>
      </left>
      <right/>
      <top/>
      <bottom/>
      <diagonal/>
    </border>
    <border>
      <left style="double">
        <color rgb="FF0066FF"/>
      </left>
      <right/>
      <top style="thin">
        <color rgb="FF0066FF"/>
      </top>
      <bottom style="double">
        <color rgb="FF0066FF"/>
      </bottom>
      <diagonal/>
    </border>
    <border>
      <left/>
      <right/>
      <top style="thin">
        <color rgb="FF0066FF"/>
      </top>
      <bottom style="double">
        <color rgb="FF0066FF"/>
      </bottom>
      <diagonal/>
    </border>
    <border>
      <left/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/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EFF3F7"/>
      </left>
      <right style="thin">
        <color rgb="FFEFF3F7"/>
      </right>
      <top/>
      <bottom/>
      <diagonal/>
    </border>
    <border>
      <left/>
      <right style="thin">
        <color rgb="FFEFF3F7"/>
      </right>
      <top/>
      <bottom/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ck">
        <color rgb="FF0000FF"/>
      </right>
      <top style="thin">
        <color rgb="FF0000FF"/>
      </top>
      <bottom/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NumberFormat="0">
      <alignment horizontal="left"/>
    </xf>
    <xf numFmtId="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>
      <alignment horizontal="right"/>
    </xf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56" applyNumberFormat="0" applyFill="0" applyAlignment="0" applyProtection="0"/>
    <xf numFmtId="0" fontId="20" fillId="0" borderId="57" applyNumberFormat="0" applyFill="0" applyAlignment="0" applyProtection="0"/>
    <xf numFmtId="0" fontId="1" fillId="0" borderId="0"/>
    <xf numFmtId="0" fontId="21" fillId="0" borderId="0"/>
    <xf numFmtId="0" fontId="2" fillId="0" borderId="0"/>
  </cellStyleXfs>
  <cellXfs count="320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4" xfId="0" applyNumberFormat="1" applyBorder="1"/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9" fontId="0" fillId="0" borderId="9" xfId="10" applyNumberFormat="1" applyFont="1" applyBorder="1"/>
    <xf numFmtId="9" fontId="0" fillId="0" borderId="2" xfId="10" applyNumberFormat="1" applyFont="1" applyBorder="1"/>
    <xf numFmtId="9" fontId="0" fillId="0" borderId="4" xfId="0" applyNumberFormat="1" applyBorder="1"/>
    <xf numFmtId="0" fontId="2" fillId="0" borderId="5" xfId="0" applyFont="1" applyBorder="1"/>
    <xf numFmtId="0" fontId="2" fillId="0" borderId="1" xfId="0" applyFont="1" applyBorder="1"/>
    <xf numFmtId="0" fontId="2" fillId="0" borderId="3" xfId="0" applyFont="1" applyBorder="1"/>
    <xf numFmtId="0" fontId="6" fillId="0" borderId="23" xfId="0" applyFont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2" fontId="2" fillId="0" borderId="0" xfId="0" applyNumberFormat="1" applyFont="1"/>
    <xf numFmtId="0" fontId="2" fillId="0" borderId="28" xfId="0" applyFont="1" applyBorder="1"/>
    <xf numFmtId="0" fontId="2" fillId="0" borderId="28" xfId="0" applyFont="1" applyBorder="1" applyAlignment="1">
      <alignment horizontal="left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2" fillId="0" borderId="3" xfId="0" applyNumberFormat="1" applyFont="1" applyBorder="1" applyAlignment="1"/>
    <xf numFmtId="0" fontId="0" fillId="0" borderId="33" xfId="0" applyBorder="1"/>
    <xf numFmtId="0" fontId="6" fillId="0" borderId="3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/>
    <xf numFmtId="0" fontId="6" fillId="0" borderId="12" xfId="0" applyFont="1" applyBorder="1" applyAlignment="1">
      <alignment vertical="top" wrapText="1"/>
    </xf>
    <xf numFmtId="0" fontId="6" fillId="0" borderId="10" xfId="0" applyFont="1" applyBorder="1" applyAlignment="1">
      <alignment horizontal="right"/>
    </xf>
    <xf numFmtId="0" fontId="0" fillId="0" borderId="2" xfId="0" applyNumberFormat="1" applyBorder="1"/>
    <xf numFmtId="0" fontId="6" fillId="0" borderId="10" xfId="0" applyFont="1" applyBorder="1" applyAlignment="1"/>
    <xf numFmtId="0" fontId="6" fillId="0" borderId="1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164" fontId="0" fillId="0" borderId="25" xfId="0" applyNumberFormat="1" applyBorder="1" applyAlignment="1"/>
    <xf numFmtId="164" fontId="0" fillId="0" borderId="41" xfId="0" applyNumberFormat="1" applyBorder="1" applyAlignment="1"/>
    <xf numFmtId="4" fontId="0" fillId="0" borderId="0" xfId="0" applyNumberFormat="1"/>
    <xf numFmtId="6" fontId="0" fillId="0" borderId="0" xfId="0" applyNumberFormat="1"/>
    <xf numFmtId="6" fontId="11" fillId="4" borderId="0" xfId="0" applyNumberFormat="1" applyFont="1" applyFill="1" applyAlignment="1">
      <alignment horizontal="center"/>
    </xf>
    <xf numFmtId="0" fontId="11" fillId="0" borderId="0" xfId="0" applyFont="1"/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14" fontId="0" fillId="4" borderId="0" xfId="0" applyNumberFormat="1" applyFill="1"/>
    <xf numFmtId="0" fontId="0" fillId="4" borderId="0" xfId="0" applyFill="1"/>
    <xf numFmtId="4" fontId="0" fillId="4" borderId="0" xfId="0" applyNumberFormat="1" applyFill="1"/>
    <xf numFmtId="168" fontId="0" fillId="4" borderId="0" xfId="0" applyNumberFormat="1" applyFill="1"/>
    <xf numFmtId="14" fontId="0" fillId="5" borderId="0" xfId="0" applyNumberFormat="1" applyFill="1"/>
    <xf numFmtId="4" fontId="0" fillId="5" borderId="0" xfId="0" applyNumberFormat="1" applyFill="1"/>
    <xf numFmtId="17" fontId="0" fillId="5" borderId="0" xfId="0" applyNumberFormat="1" applyFill="1"/>
    <xf numFmtId="6" fontId="0" fillId="4" borderId="0" xfId="0" applyNumberFormat="1" applyFill="1"/>
    <xf numFmtId="0" fontId="0" fillId="5" borderId="0" xfId="0" applyFill="1"/>
    <xf numFmtId="2" fontId="0" fillId="4" borderId="0" xfId="0" applyNumberFormat="1" applyFill="1"/>
    <xf numFmtId="1" fontId="0" fillId="4" borderId="0" xfId="0" applyNumberFormat="1" applyFill="1"/>
    <xf numFmtId="0" fontId="13" fillId="0" borderId="0" xfId="0" applyFont="1" applyAlignment="1">
      <alignment horizontal="center" vertical="center" wrapText="1"/>
    </xf>
    <xf numFmtId="0" fontId="4" fillId="0" borderId="0" xfId="15"/>
    <xf numFmtId="17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wrapText="1"/>
    </xf>
    <xf numFmtId="17" fontId="15" fillId="7" borderId="0" xfId="0" applyNumberFormat="1" applyFont="1" applyFill="1" applyAlignment="1">
      <alignment wrapText="1"/>
    </xf>
    <xf numFmtId="0" fontId="15" fillId="7" borderId="0" xfId="0" applyFont="1" applyFill="1" applyAlignment="1">
      <alignment wrapText="1"/>
    </xf>
    <xf numFmtId="4" fontId="15" fillId="7" borderId="0" xfId="0" applyNumberFormat="1" applyFont="1" applyFill="1" applyAlignment="1">
      <alignment wrapText="1"/>
    </xf>
    <xf numFmtId="17" fontId="15" fillId="8" borderId="0" xfId="0" applyNumberFormat="1" applyFont="1" applyFill="1" applyAlignment="1">
      <alignment wrapText="1"/>
    </xf>
    <xf numFmtId="0" fontId="15" fillId="8" borderId="0" xfId="0" applyFont="1" applyFill="1" applyAlignment="1">
      <alignment wrapText="1"/>
    </xf>
    <xf numFmtId="4" fontId="15" fillId="8" borderId="0" xfId="0" applyNumberFormat="1" applyFont="1" applyFill="1" applyAlignment="1">
      <alignment wrapText="1"/>
    </xf>
    <xf numFmtId="0" fontId="12" fillId="6" borderId="43" xfId="0" applyFont="1" applyFill="1" applyBorder="1" applyAlignment="1">
      <alignment horizontal="center" vertical="center" wrapText="1"/>
    </xf>
    <xf numFmtId="0" fontId="2" fillId="0" borderId="0" xfId="14"/>
    <xf numFmtId="0" fontId="6" fillId="0" borderId="47" xfId="14" applyFont="1" applyFill="1" applyBorder="1" applyAlignment="1">
      <alignment horizontal="right" wrapText="1"/>
    </xf>
    <xf numFmtId="0" fontId="6" fillId="0" borderId="48" xfId="14" applyFont="1" applyFill="1" applyBorder="1" applyAlignment="1">
      <alignment horizontal="right" wrapText="1"/>
    </xf>
    <xf numFmtId="0" fontId="6" fillId="0" borderId="49" xfId="14" applyFont="1" applyFill="1" applyBorder="1" applyAlignment="1">
      <alignment horizontal="right" wrapText="1"/>
    </xf>
    <xf numFmtId="0" fontId="2" fillId="0" borderId="47" xfId="14" applyFont="1" applyFill="1" applyBorder="1" applyAlignment="1">
      <alignment horizontal="right"/>
    </xf>
    <xf numFmtId="0" fontId="2" fillId="0" borderId="48" xfId="14" applyNumberFormat="1" applyFont="1" applyFill="1" applyBorder="1" applyAlignment="1">
      <alignment horizontal="right"/>
    </xf>
    <xf numFmtId="169" fontId="2" fillId="0" borderId="48" xfId="14" applyNumberFormat="1" applyFont="1" applyFill="1" applyBorder="1" applyAlignment="1">
      <alignment horizontal="right"/>
    </xf>
    <xf numFmtId="1" fontId="2" fillId="0" borderId="48" xfId="14" applyNumberFormat="1" applyFont="1" applyFill="1" applyBorder="1" applyAlignment="1">
      <alignment horizontal="right"/>
    </xf>
    <xf numFmtId="0" fontId="2" fillId="0" borderId="48" xfId="14" applyFont="1" applyFill="1" applyBorder="1" applyAlignment="1">
      <alignment horizontal="right"/>
    </xf>
    <xf numFmtId="10" fontId="2" fillId="0" borderId="48" xfId="14" applyNumberFormat="1" applyFont="1" applyFill="1" applyBorder="1" applyAlignment="1">
      <alignment horizontal="right"/>
    </xf>
    <xf numFmtId="169" fontId="2" fillId="0" borderId="49" xfId="14" applyNumberFormat="1" applyFont="1" applyFill="1" applyBorder="1" applyAlignment="1">
      <alignment horizontal="right"/>
    </xf>
    <xf numFmtId="0" fontId="2" fillId="0" borderId="50" xfId="14" applyFont="1" applyFill="1" applyBorder="1" applyAlignment="1">
      <alignment horizontal="right"/>
    </xf>
    <xf numFmtId="0" fontId="2" fillId="0" borderId="51" xfId="14" applyNumberFormat="1" applyFont="1" applyFill="1" applyBorder="1" applyAlignment="1">
      <alignment horizontal="right"/>
    </xf>
    <xf numFmtId="169" fontId="2" fillId="0" borderId="51" xfId="14" applyNumberFormat="1" applyFont="1" applyFill="1" applyBorder="1" applyAlignment="1">
      <alignment horizontal="right"/>
    </xf>
    <xf numFmtId="1" fontId="2" fillId="0" borderId="51" xfId="14" applyNumberFormat="1" applyFont="1" applyFill="1" applyBorder="1" applyAlignment="1">
      <alignment horizontal="right"/>
    </xf>
    <xf numFmtId="0" fontId="2" fillId="0" borderId="51" xfId="14" applyFont="1" applyFill="1" applyBorder="1" applyAlignment="1">
      <alignment horizontal="right"/>
    </xf>
    <xf numFmtId="10" fontId="2" fillId="0" borderId="51" xfId="14" applyNumberFormat="1" applyFont="1" applyFill="1" applyBorder="1" applyAlignment="1">
      <alignment horizontal="right"/>
    </xf>
    <xf numFmtId="169" fontId="2" fillId="0" borderId="52" xfId="14" applyNumberFormat="1" applyFont="1" applyFill="1" applyBorder="1" applyAlignment="1">
      <alignment horizontal="right"/>
    </xf>
    <xf numFmtId="0" fontId="2" fillId="0" borderId="53" xfId="14" applyFont="1" applyFill="1" applyBorder="1" applyAlignment="1">
      <alignment horizontal="right"/>
    </xf>
    <xf numFmtId="0" fontId="2" fillId="0" borderId="54" xfId="14" applyNumberFormat="1" applyFont="1" applyFill="1" applyBorder="1" applyAlignment="1">
      <alignment horizontal="right"/>
    </xf>
    <xf numFmtId="169" fontId="2" fillId="0" borderId="54" xfId="14" applyNumberFormat="1" applyFont="1" applyFill="1" applyBorder="1" applyAlignment="1">
      <alignment horizontal="right"/>
    </xf>
    <xf numFmtId="1" fontId="2" fillId="0" borderId="54" xfId="14" applyNumberFormat="1" applyFont="1" applyFill="1" applyBorder="1" applyAlignment="1">
      <alignment horizontal="right"/>
    </xf>
    <xf numFmtId="0" fontId="2" fillId="0" borderId="54" xfId="14" applyFont="1" applyFill="1" applyBorder="1" applyAlignment="1">
      <alignment horizontal="right"/>
    </xf>
    <xf numFmtId="10" fontId="2" fillId="0" borderId="54" xfId="14" applyNumberFormat="1" applyFont="1" applyFill="1" applyBorder="1" applyAlignment="1">
      <alignment horizontal="right"/>
    </xf>
    <xf numFmtId="169" fontId="2" fillId="0" borderId="55" xfId="14" applyNumberFormat="1" applyFont="1" applyFill="1" applyBorder="1" applyAlignment="1">
      <alignment horizontal="right"/>
    </xf>
    <xf numFmtId="0" fontId="2" fillId="0" borderId="0" xfId="14" applyFont="1" applyFill="1" applyAlignment="1">
      <alignment horizontal="right"/>
    </xf>
    <xf numFmtId="0" fontId="17" fillId="0" borderId="44" xfId="14" applyFont="1" applyBorder="1"/>
    <xf numFmtId="0" fontId="2" fillId="0" borderId="45" xfId="14" applyBorder="1"/>
    <xf numFmtId="169" fontId="2" fillId="0" borderId="45" xfId="14" applyNumberFormat="1" applyBorder="1"/>
    <xf numFmtId="1" fontId="2" fillId="0" borderId="45" xfId="14" applyNumberFormat="1" applyBorder="1"/>
    <xf numFmtId="170" fontId="2" fillId="0" borderId="45" xfId="14" applyNumberFormat="1" applyBorder="1"/>
    <xf numFmtId="10" fontId="2" fillId="0" borderId="45" xfId="14" applyNumberFormat="1" applyBorder="1"/>
    <xf numFmtId="169" fontId="2" fillId="0" borderId="46" xfId="14" applyNumberFormat="1" applyBorder="1"/>
    <xf numFmtId="0" fontId="17" fillId="0" borderId="47" xfId="14" applyFont="1" applyBorder="1"/>
    <xf numFmtId="0" fontId="2" fillId="0" borderId="48" xfId="14" applyBorder="1"/>
    <xf numFmtId="169" fontId="2" fillId="0" borderId="48" xfId="14" applyNumberFormat="1" applyBorder="1"/>
    <xf numFmtId="1" fontId="2" fillId="0" borderId="48" xfId="14" applyNumberFormat="1" applyBorder="1"/>
    <xf numFmtId="170" fontId="2" fillId="0" borderId="48" xfId="14" applyNumberFormat="1" applyBorder="1"/>
    <xf numFmtId="10" fontId="2" fillId="0" borderId="48" xfId="14" applyNumberFormat="1" applyBorder="1"/>
    <xf numFmtId="169" fontId="2" fillId="0" borderId="49" xfId="14" applyNumberFormat="1" applyBorder="1"/>
    <xf numFmtId="0" fontId="17" fillId="0" borderId="53" xfId="14" applyFont="1" applyBorder="1"/>
    <xf numFmtId="0" fontId="17" fillId="0" borderId="54" xfId="14" applyFont="1" applyBorder="1"/>
    <xf numFmtId="1" fontId="2" fillId="0" borderId="54" xfId="14" applyNumberFormat="1" applyBorder="1"/>
    <xf numFmtId="0" fontId="2" fillId="0" borderId="54" xfId="14" applyBorder="1"/>
    <xf numFmtId="170" fontId="2" fillId="0" borderId="54" xfId="14" applyNumberFormat="1" applyBorder="1"/>
    <xf numFmtId="10" fontId="2" fillId="0" borderId="55" xfId="14" applyNumberFormat="1" applyBorder="1"/>
    <xf numFmtId="0" fontId="6" fillId="0" borderId="44" xfId="14" applyFont="1" applyFill="1" applyBorder="1" applyAlignment="1">
      <alignment horizontal="right" wrapText="1"/>
    </xf>
    <xf numFmtId="0" fontId="6" fillId="0" borderId="46" xfId="14" applyFont="1" applyFill="1" applyBorder="1" applyAlignment="1">
      <alignment horizontal="right" wrapText="1"/>
    </xf>
    <xf numFmtId="0" fontId="6" fillId="0" borderId="0" xfId="14" applyFont="1" applyFill="1" applyAlignment="1">
      <alignment horizontal="right"/>
    </xf>
    <xf numFmtId="10" fontId="2" fillId="0" borderId="49" xfId="14" applyNumberFormat="1" applyFont="1" applyFill="1" applyBorder="1" applyAlignment="1">
      <alignment horizontal="right"/>
    </xf>
    <xf numFmtId="0" fontId="2" fillId="0" borderId="47" xfId="14" applyNumberFormat="1" applyFont="1" applyFill="1" applyBorder="1" applyAlignment="1">
      <alignment horizontal="right"/>
    </xf>
    <xf numFmtId="10" fontId="2" fillId="0" borderId="55" xfId="14" applyNumberFormat="1" applyFont="1" applyFill="1" applyBorder="1" applyAlignment="1">
      <alignment horizontal="right"/>
    </xf>
    <xf numFmtId="0" fontId="18" fillId="0" borderId="0" xfId="14" applyFont="1"/>
    <xf numFmtId="0" fontId="2" fillId="0" borderId="47" xfId="14" applyBorder="1"/>
    <xf numFmtId="10" fontId="2" fillId="0" borderId="49" xfId="14" applyNumberFormat="1" applyBorder="1"/>
    <xf numFmtId="0" fontId="2" fillId="0" borderId="49" xfId="14" applyBorder="1"/>
    <xf numFmtId="1" fontId="2" fillId="0" borderId="49" xfId="14" applyNumberFormat="1" applyBorder="1"/>
    <xf numFmtId="0" fontId="2" fillId="0" borderId="53" xfId="14" applyBorder="1"/>
    <xf numFmtId="0" fontId="2" fillId="0" borderId="55" xfId="14" applyBorder="1"/>
    <xf numFmtId="172" fontId="0" fillId="0" borderId="0" xfId="0" applyNumberForma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164" fontId="0" fillId="0" borderId="10" xfId="0" applyNumberFormat="1" applyBorder="1"/>
    <xf numFmtId="164" fontId="0" fillId="0" borderId="11" xfId="0" applyNumberFormat="1" applyBorder="1"/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172" fontId="0" fillId="0" borderId="10" xfId="0" applyNumberFormat="1" applyBorder="1"/>
    <xf numFmtId="172" fontId="0" fillId="0" borderId="1" xfId="0" applyNumberFormat="1" applyBorder="1"/>
    <xf numFmtId="9" fontId="0" fillId="0" borderId="1" xfId="10" applyFont="1" applyBorder="1"/>
    <xf numFmtId="172" fontId="0" fillId="0" borderId="11" xfId="0" applyNumberFormat="1" applyBorder="1"/>
    <xf numFmtId="172" fontId="0" fillId="0" borderId="3" xfId="0" applyNumberFormat="1" applyBorder="1"/>
    <xf numFmtId="9" fontId="0" fillId="0" borderId="3" xfId="10" applyFont="1" applyBorder="1"/>
    <xf numFmtId="173" fontId="0" fillId="0" borderId="1" xfId="0" applyNumberFormat="1" applyBorder="1"/>
    <xf numFmtId="173" fontId="0" fillId="0" borderId="2" xfId="0" applyNumberFormat="1" applyBorder="1"/>
    <xf numFmtId="173" fontId="0" fillId="0" borderId="3" xfId="0" applyNumberFormat="1" applyBorder="1"/>
    <xf numFmtId="173" fontId="0" fillId="0" borderId="4" xfId="0" applyNumberFormat="1" applyBorder="1"/>
    <xf numFmtId="0" fontId="21" fillId="0" borderId="0" xfId="21"/>
    <xf numFmtId="0" fontId="22" fillId="0" borderId="0" xfId="21" applyFont="1" applyAlignment="1">
      <alignment horizontal="center" vertical="top" wrapText="1"/>
    </xf>
    <xf numFmtId="3" fontId="21" fillId="0" borderId="0" xfId="21" applyNumberFormat="1"/>
    <xf numFmtId="0" fontId="22" fillId="0" borderId="58" xfId="21" applyFont="1" applyBorder="1"/>
    <xf numFmtId="3" fontId="21" fillId="0" borderId="58" xfId="21" applyNumberFormat="1" applyBorder="1"/>
    <xf numFmtId="4" fontId="21" fillId="0" borderId="58" xfId="21" applyNumberFormat="1" applyBorder="1"/>
    <xf numFmtId="4" fontId="21" fillId="0" borderId="0" xfId="21" applyNumberFormat="1"/>
    <xf numFmtId="9" fontId="0" fillId="0" borderId="0" xfId="10" applyFont="1"/>
    <xf numFmtId="0" fontId="6" fillId="0" borderId="0" xfId="0" applyFont="1" applyAlignment="1">
      <alignment horizontal="center" vertical="top" wrapText="1"/>
    </xf>
    <xf numFmtId="0" fontId="6" fillId="0" borderId="58" xfId="0" applyFont="1" applyBorder="1" applyAlignment="1">
      <alignment vertical="center"/>
    </xf>
    <xf numFmtId="0" fontId="0" fillId="0" borderId="58" xfId="0" applyBorder="1"/>
    <xf numFmtId="9" fontId="0" fillId="0" borderId="58" xfId="0" applyNumberFormat="1" applyBorder="1"/>
    <xf numFmtId="0" fontId="6" fillId="0" borderId="10" xfId="0" applyFont="1" applyBorder="1" applyAlignment="1"/>
    <xf numFmtId="0" fontId="6" fillId="0" borderId="1" xfId="0" applyFont="1" applyBorder="1" applyAlignment="1"/>
    <xf numFmtId="0" fontId="2" fillId="0" borderId="0" xfId="22"/>
    <xf numFmtId="0" fontId="6" fillId="0" borderId="47" xfId="22" applyFont="1" applyFill="1" applyBorder="1" applyAlignment="1">
      <alignment horizontal="right" wrapText="1"/>
    </xf>
    <xf numFmtId="0" fontId="6" fillId="0" borderId="48" xfId="22" applyFont="1" applyFill="1" applyBorder="1" applyAlignment="1">
      <alignment horizontal="right" wrapText="1"/>
    </xf>
    <xf numFmtId="0" fontId="6" fillId="0" borderId="49" xfId="22" applyFont="1" applyFill="1" applyBorder="1" applyAlignment="1">
      <alignment horizontal="right" wrapText="1"/>
    </xf>
    <xf numFmtId="0" fontId="2" fillId="0" borderId="47" xfId="22" applyFont="1" applyFill="1" applyBorder="1" applyAlignment="1">
      <alignment horizontal="right"/>
    </xf>
    <xf numFmtId="0" fontId="2" fillId="0" borderId="48" xfId="22" applyNumberFormat="1" applyFont="1" applyFill="1" applyBorder="1" applyAlignment="1">
      <alignment horizontal="right"/>
    </xf>
    <xf numFmtId="169" fontId="2" fillId="0" borderId="48" xfId="22" applyNumberFormat="1" applyFont="1" applyFill="1" applyBorder="1" applyAlignment="1">
      <alignment horizontal="right"/>
    </xf>
    <xf numFmtId="1" fontId="2" fillId="0" borderId="48" xfId="22" applyNumberFormat="1" applyFont="1" applyFill="1" applyBorder="1" applyAlignment="1">
      <alignment horizontal="right"/>
    </xf>
    <xf numFmtId="0" fontId="2" fillId="0" borderId="48" xfId="22" applyFont="1" applyFill="1" applyBorder="1" applyAlignment="1">
      <alignment horizontal="right"/>
    </xf>
    <xf numFmtId="10" fontId="2" fillId="0" borderId="48" xfId="22" applyNumberFormat="1" applyFont="1" applyFill="1" applyBorder="1" applyAlignment="1">
      <alignment horizontal="right"/>
    </xf>
    <xf numFmtId="169" fontId="2" fillId="0" borderId="49" xfId="22" applyNumberFormat="1" applyFont="1" applyFill="1" applyBorder="1" applyAlignment="1">
      <alignment horizontal="right"/>
    </xf>
    <xf numFmtId="0" fontId="2" fillId="0" borderId="50" xfId="22" applyFont="1" applyFill="1" applyBorder="1" applyAlignment="1">
      <alignment horizontal="right"/>
    </xf>
    <xf numFmtId="0" fontId="2" fillId="0" borderId="51" xfId="22" applyNumberFormat="1" applyFont="1" applyFill="1" applyBorder="1" applyAlignment="1">
      <alignment horizontal="right"/>
    </xf>
    <xf numFmtId="169" fontId="2" fillId="0" borderId="51" xfId="22" applyNumberFormat="1" applyFont="1" applyFill="1" applyBorder="1" applyAlignment="1">
      <alignment horizontal="right"/>
    </xf>
    <xf numFmtId="1" fontId="2" fillId="0" borderId="51" xfId="22" applyNumberFormat="1" applyFont="1" applyFill="1" applyBorder="1" applyAlignment="1">
      <alignment horizontal="right"/>
    </xf>
    <xf numFmtId="0" fontId="2" fillId="0" borderId="51" xfId="22" applyFont="1" applyFill="1" applyBorder="1" applyAlignment="1">
      <alignment horizontal="right"/>
    </xf>
    <xf numFmtId="10" fontId="2" fillId="0" borderId="51" xfId="22" applyNumberFormat="1" applyFont="1" applyFill="1" applyBorder="1" applyAlignment="1">
      <alignment horizontal="right"/>
    </xf>
    <xf numFmtId="169" fontId="2" fillId="0" borderId="52" xfId="22" applyNumberFormat="1" applyFont="1" applyFill="1" applyBorder="1" applyAlignment="1">
      <alignment horizontal="right"/>
    </xf>
    <xf numFmtId="0" fontId="2" fillId="0" borderId="53" xfId="22" applyFont="1" applyFill="1" applyBorder="1" applyAlignment="1">
      <alignment horizontal="right"/>
    </xf>
    <xf numFmtId="0" fontId="2" fillId="0" borderId="54" xfId="22" applyNumberFormat="1" applyFont="1" applyFill="1" applyBorder="1" applyAlignment="1">
      <alignment horizontal="right"/>
    </xf>
    <xf numFmtId="169" fontId="2" fillId="0" borderId="54" xfId="22" applyNumberFormat="1" applyFont="1" applyFill="1" applyBorder="1" applyAlignment="1">
      <alignment horizontal="right"/>
    </xf>
    <xf numFmtId="1" fontId="2" fillId="0" borderId="54" xfId="22" applyNumberFormat="1" applyFont="1" applyFill="1" applyBorder="1" applyAlignment="1">
      <alignment horizontal="right"/>
    </xf>
    <xf numFmtId="0" fontId="2" fillId="0" borderId="54" xfId="22" applyFont="1" applyFill="1" applyBorder="1" applyAlignment="1">
      <alignment horizontal="right"/>
    </xf>
    <xf numFmtId="10" fontId="2" fillId="0" borderId="54" xfId="22" applyNumberFormat="1" applyFont="1" applyFill="1" applyBorder="1" applyAlignment="1">
      <alignment horizontal="right"/>
    </xf>
    <xf numFmtId="169" fontId="2" fillId="0" borderId="55" xfId="22" applyNumberFormat="1" applyFont="1" applyFill="1" applyBorder="1" applyAlignment="1">
      <alignment horizontal="right"/>
    </xf>
    <xf numFmtId="0" fontId="2" fillId="0" borderId="0" xfId="22" applyFont="1" applyFill="1" applyAlignment="1">
      <alignment horizontal="right"/>
    </xf>
    <xf numFmtId="0" fontId="17" fillId="0" borderId="44" xfId="22" applyFont="1" applyBorder="1"/>
    <xf numFmtId="0" fontId="2" fillId="0" borderId="45" xfId="22" applyBorder="1"/>
    <xf numFmtId="169" fontId="2" fillId="0" borderId="45" xfId="22" applyNumberFormat="1" applyBorder="1"/>
    <xf numFmtId="1" fontId="2" fillId="0" borderId="45" xfId="22" applyNumberFormat="1" applyBorder="1"/>
    <xf numFmtId="170" fontId="2" fillId="0" borderId="45" xfId="22" applyNumberFormat="1" applyBorder="1"/>
    <xf numFmtId="10" fontId="2" fillId="0" borderId="45" xfId="22" applyNumberFormat="1" applyBorder="1"/>
    <xf numFmtId="169" fontId="2" fillId="0" borderId="46" xfId="22" applyNumberFormat="1" applyBorder="1"/>
    <xf numFmtId="0" fontId="17" fillId="0" borderId="47" xfId="22" applyFont="1" applyBorder="1"/>
    <xf numFmtId="0" fontId="2" fillId="0" borderId="48" xfId="22" applyBorder="1"/>
    <xf numFmtId="169" fontId="2" fillId="0" borderId="48" xfId="22" applyNumberFormat="1" applyBorder="1"/>
    <xf numFmtId="1" fontId="2" fillId="0" borderId="48" xfId="22" applyNumberFormat="1" applyBorder="1"/>
    <xf numFmtId="170" fontId="2" fillId="0" borderId="48" xfId="22" applyNumberFormat="1" applyBorder="1"/>
    <xf numFmtId="10" fontId="2" fillId="0" borderId="48" xfId="22" applyNumberFormat="1" applyBorder="1"/>
    <xf numFmtId="169" fontId="2" fillId="0" borderId="49" xfId="22" applyNumberFormat="1" applyBorder="1"/>
    <xf numFmtId="0" fontId="17" fillId="0" borderId="53" xfId="22" applyFont="1" applyBorder="1"/>
    <xf numFmtId="0" fontId="17" fillId="0" borderId="54" xfId="22" applyFont="1" applyBorder="1"/>
    <xf numFmtId="1" fontId="2" fillId="0" borderId="54" xfId="22" applyNumberFormat="1" applyBorder="1"/>
    <xf numFmtId="0" fontId="2" fillId="0" borderId="54" xfId="22" applyBorder="1"/>
    <xf numFmtId="170" fontId="2" fillId="0" borderId="54" xfId="22" applyNumberFormat="1" applyBorder="1"/>
    <xf numFmtId="10" fontId="2" fillId="0" borderId="55" xfId="22" applyNumberFormat="1" applyBorder="1"/>
    <xf numFmtId="0" fontId="6" fillId="0" borderId="44" xfId="22" applyFont="1" applyFill="1" applyBorder="1" applyAlignment="1">
      <alignment horizontal="right" wrapText="1"/>
    </xf>
    <xf numFmtId="0" fontId="6" fillId="0" borderId="46" xfId="22" applyFont="1" applyFill="1" applyBorder="1" applyAlignment="1">
      <alignment horizontal="right" wrapText="1"/>
    </xf>
    <xf numFmtId="0" fontId="6" fillId="0" borderId="0" xfId="22" applyFont="1" applyFill="1" applyAlignment="1">
      <alignment horizontal="right"/>
    </xf>
    <xf numFmtId="10" fontId="2" fillId="0" borderId="49" xfId="22" applyNumberFormat="1" applyFont="1" applyFill="1" applyBorder="1" applyAlignment="1">
      <alignment horizontal="right"/>
    </xf>
    <xf numFmtId="0" fontId="2" fillId="0" borderId="47" xfId="22" applyNumberFormat="1" applyFont="1" applyFill="1" applyBorder="1" applyAlignment="1">
      <alignment horizontal="right"/>
    </xf>
    <xf numFmtId="10" fontId="2" fillId="0" borderId="55" xfId="22" applyNumberFormat="1" applyFont="1" applyFill="1" applyBorder="1" applyAlignment="1">
      <alignment horizontal="right"/>
    </xf>
    <xf numFmtId="0" fontId="18" fillId="0" borderId="0" xfId="22" applyFont="1"/>
    <xf numFmtId="0" fontId="2" fillId="0" borderId="47" xfId="22" applyBorder="1"/>
    <xf numFmtId="10" fontId="2" fillId="0" borderId="49" xfId="22" applyNumberFormat="1" applyBorder="1"/>
    <xf numFmtId="0" fontId="2" fillId="0" borderId="49" xfId="22" applyBorder="1"/>
    <xf numFmtId="1" fontId="2" fillId="0" borderId="49" xfId="22" applyNumberFormat="1" applyBorder="1"/>
    <xf numFmtId="0" fontId="2" fillId="0" borderId="53" xfId="22" applyBorder="1"/>
    <xf numFmtId="0" fontId="2" fillId="0" borderId="55" xfId="22" applyBorder="1"/>
    <xf numFmtId="0" fontId="2" fillId="0" borderId="0" xfId="22" applyAlignment="1">
      <alignment horizontal="right" wrapText="1" readingOrder="2"/>
    </xf>
    <xf numFmtId="0" fontId="2" fillId="0" borderId="0" xfId="22" applyAlignment="1">
      <alignment wrapText="1"/>
    </xf>
    <xf numFmtId="0" fontId="2" fillId="0" borderId="0" xfId="22" applyAlignment="1">
      <alignment horizontal="right"/>
    </xf>
    <xf numFmtId="0" fontId="2" fillId="0" borderId="0" xfId="22" applyNumberFormat="1"/>
    <xf numFmtId="10" fontId="2" fillId="0" borderId="0" xfId="22" applyNumberFormat="1"/>
    <xf numFmtId="173" fontId="2" fillId="0" borderId="0" xfId="22" applyNumberFormat="1"/>
    <xf numFmtId="6" fontId="2" fillId="0" borderId="0" xfId="22" applyNumberFormat="1"/>
    <xf numFmtId="0" fontId="2" fillId="0" borderId="0" xfId="22" applyAlignment="1">
      <alignment horizontal="right" indent="1"/>
    </xf>
    <xf numFmtId="0" fontId="16" fillId="0" borderId="44" xfId="14" applyFont="1" applyBorder="1" applyAlignment="1">
      <alignment horizontal="center"/>
    </xf>
    <xf numFmtId="0" fontId="16" fillId="0" borderId="45" xfId="14" applyFont="1" applyBorder="1" applyAlignment="1">
      <alignment horizontal="center"/>
    </xf>
    <xf numFmtId="0" fontId="16" fillId="0" borderId="46" xfId="14" applyFont="1" applyBorder="1" applyAlignment="1">
      <alignment horizontal="center"/>
    </xf>
    <xf numFmtId="0" fontId="18" fillId="0" borderId="44" xfId="14" applyFont="1" applyBorder="1" applyAlignment="1">
      <alignment horizontal="center"/>
    </xf>
    <xf numFmtId="0" fontId="18" fillId="0" borderId="46" xfId="14" applyFont="1" applyBorder="1" applyAlignment="1">
      <alignment horizontal="center"/>
    </xf>
    <xf numFmtId="0" fontId="2" fillId="0" borderId="47" xfId="14" applyBorder="1" applyAlignment="1"/>
    <xf numFmtId="0" fontId="2" fillId="0" borderId="49" xfId="14" applyBorder="1" applyAlignment="1"/>
    <xf numFmtId="0" fontId="11" fillId="4" borderId="0" xfId="0" applyFont="1" applyFill="1" applyAlignment="1">
      <alignment horizontal="center"/>
    </xf>
    <xf numFmtId="0" fontId="2" fillId="0" borderId="0" xfId="0" applyFont="1" applyAlignment="1"/>
    <xf numFmtId="0" fontId="11" fillId="5" borderId="0" xfId="0" applyFont="1" applyFill="1" applyAlignment="1">
      <alignment horizontal="center"/>
    </xf>
    <xf numFmtId="6" fontId="11" fillId="4" borderId="0" xfId="0" applyNumberFormat="1" applyFont="1" applyFill="1" applyAlignment="1">
      <alignment horizontal="center"/>
    </xf>
    <xf numFmtId="0" fontId="12" fillId="6" borderId="43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22" fillId="0" borderId="58" xfId="21" applyFont="1" applyBorder="1" applyAlignment="1">
      <alignment horizontal="center"/>
    </xf>
    <xf numFmtId="0" fontId="22" fillId="0" borderId="58" xfId="21" applyFont="1" applyBorder="1" applyAlignment="1">
      <alignment horizontal="center" wrapText="1"/>
    </xf>
    <xf numFmtId="0" fontId="6" fillId="0" borderId="58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/>
    <xf numFmtId="0" fontId="6" fillId="0" borderId="16" xfId="0" applyFont="1" applyBorder="1" applyAlignment="1"/>
    <xf numFmtId="0" fontId="6" fillId="0" borderId="35" xfId="0" applyFont="1" applyBorder="1" applyAlignment="1"/>
    <xf numFmtId="0" fontId="6" fillId="0" borderId="1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1" xfId="0" applyFont="1" applyBorder="1" applyAlignment="1"/>
    <xf numFmtId="0" fontId="7" fillId="0" borderId="0" xfId="0" applyFont="1" applyAlignment="1">
      <alignment horizontal="center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27" xfId="0" applyFont="1" applyFill="1" applyBorder="1" applyAlignment="1">
      <alignment horizontal="center" vertical="center" textRotation="255" wrapText="1"/>
    </xf>
    <xf numFmtId="0" fontId="8" fillId="3" borderId="11" xfId="0" applyFont="1" applyFill="1" applyBorder="1" applyAlignment="1">
      <alignment horizontal="center" vertical="center" textRotation="255" wrapText="1"/>
    </xf>
    <xf numFmtId="0" fontId="6" fillId="0" borderId="3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9" fillId="0" borderId="56" xfId="18" applyAlignment="1">
      <alignment horizontal="center"/>
    </xf>
    <xf numFmtId="0" fontId="20" fillId="0" borderId="57" xfId="19" applyAlignment="1">
      <alignment horizontal="center"/>
    </xf>
    <xf numFmtId="0" fontId="16" fillId="0" borderId="44" xfId="22" applyFont="1" applyBorder="1" applyAlignment="1">
      <alignment horizontal="center"/>
    </xf>
    <xf numFmtId="0" fontId="16" fillId="0" borderId="45" xfId="22" applyFont="1" applyBorder="1" applyAlignment="1">
      <alignment horizontal="center"/>
    </xf>
    <xf numFmtId="0" fontId="16" fillId="0" borderId="46" xfId="22" applyFont="1" applyBorder="1" applyAlignment="1">
      <alignment horizontal="center"/>
    </xf>
    <xf numFmtId="0" fontId="18" fillId="0" borderId="44" xfId="22" applyFont="1" applyBorder="1" applyAlignment="1">
      <alignment horizontal="center"/>
    </xf>
    <xf numFmtId="0" fontId="18" fillId="0" borderId="46" xfId="22" applyFont="1" applyBorder="1" applyAlignment="1">
      <alignment horizontal="center"/>
    </xf>
    <xf numFmtId="0" fontId="2" fillId="0" borderId="47" xfId="22" applyBorder="1" applyAlignment="1"/>
    <xf numFmtId="0" fontId="2" fillId="0" borderId="49" xfId="22" applyBorder="1" applyAlignment="1"/>
    <xf numFmtId="0" fontId="0" fillId="0" borderId="0" xfId="0" pivotButton="1"/>
    <xf numFmtId="0" fontId="0" fillId="0" borderId="0" xfId="0" applyNumberFormat="1"/>
  </cellXfs>
  <cellStyles count="23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Currency 2" xfId="16"/>
    <cellStyle name="H1 (2)_FCG046A" xfId="7"/>
    <cellStyle name="MS_English" xfId="8"/>
    <cellStyle name="nal (2)_RF (2)" xfId="9"/>
    <cellStyle name="Normal" xfId="0" builtinId="0"/>
    <cellStyle name="Normal 2" xfId="14"/>
    <cellStyle name="Normal 2 3" xfId="22"/>
    <cellStyle name="Normal 3" xfId="20"/>
    <cellStyle name="Normal 4" xfId="21"/>
    <cellStyle name="Normal_מדד המחירים לצרכן" xfId="15"/>
    <cellStyle name="Percent" xfId="10" builtinId="5"/>
    <cellStyle name="Percent 2" xfId="17"/>
    <cellStyle name="RF (2)" xfId="11"/>
    <cellStyle name="sh_FCG320B" xfId="12"/>
    <cellStyle name="Spelling 1033,0" xfId="13"/>
    <cellStyle name="כותרת 1" xfId="18" builtinId="16"/>
    <cellStyle name="כותרת 2" xfId="19" builtinId="17"/>
  </cellStyles>
  <dxfs count="38">
    <dxf>
      <font>
        <b/>
        <i val="0"/>
        <color rgb="FF0000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00FF"/>
      </font>
    </dxf>
    <dxf>
      <font>
        <b/>
        <i val="0"/>
        <color rgb="FF0000FF"/>
      </font>
    </dxf>
    <dxf>
      <numFmt numFmtId="10" formatCode="&quot;₪&quot;\ #,##0;[Red]&quot;₪&quot;\ \-#,##0"/>
    </dxf>
    <dxf>
      <numFmt numFmtId="10" formatCode="&quot;₪&quot;\ #,##0;[Red]&quot;₪&quot;\ \-#,##0"/>
    </dxf>
    <dxf>
      <alignment wrapText="1" readingOrder="0"/>
    </dxf>
    <dxf>
      <numFmt numFmtId="14" formatCode="0.00%"/>
    </dxf>
    <dxf>
      <alignment horizontal="right" readingOrder="2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[מפגש 05.xlsx]פתרון 38!pivottable5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'פתרון 38'!$B$1</c:f>
              <c:strCache>
                <c:ptCount val="1"/>
                <c:pt idx="0">
                  <c:v>ממוצע של עלות ללא מע"מ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'פתרון 38'!$A$2:$A$9</c:f>
              <c:strCache>
                <c:ptCount val="7"/>
                <c:pt idx="0">
                  <c:v>הליכה גברים</c:v>
                </c:pt>
                <c:pt idx="1">
                  <c:v>הליכה נשים</c:v>
                </c:pt>
                <c:pt idx="2">
                  <c:v>טניס ילדים</c:v>
                </c:pt>
                <c:pt idx="3">
                  <c:v>טניס נשים</c:v>
                </c:pt>
                <c:pt idx="4">
                  <c:v>ריצה גברים</c:v>
                </c:pt>
                <c:pt idx="5">
                  <c:v>ריצה ילדים</c:v>
                </c:pt>
                <c:pt idx="6">
                  <c:v>ריצה נשים</c:v>
                </c:pt>
              </c:strCache>
            </c:strRef>
          </c:cat>
          <c:val>
            <c:numRef>
              <c:f>'פתרון 38'!$B$2:$B$9</c:f>
              <c:numCache>
                <c:formatCode>General</c:formatCode>
                <c:ptCount val="7"/>
                <c:pt idx="0">
                  <c:v>225</c:v>
                </c:pt>
                <c:pt idx="1">
                  <c:v>150</c:v>
                </c:pt>
                <c:pt idx="2">
                  <c:v>175</c:v>
                </c:pt>
                <c:pt idx="3">
                  <c:v>237.5</c:v>
                </c:pt>
                <c:pt idx="4">
                  <c:v>275</c:v>
                </c:pt>
                <c:pt idx="5">
                  <c:v>175</c:v>
                </c:pt>
                <c:pt idx="6">
                  <c:v>266.66666666666669</c:v>
                </c:pt>
              </c:numCache>
            </c:numRef>
          </c:val>
        </c:ser>
        <c:ser>
          <c:idx val="1"/>
          <c:order val="1"/>
          <c:tx>
            <c:strRef>
              <c:f>'פתרון 38'!$C$1</c:f>
              <c:strCache>
                <c:ptCount val="1"/>
                <c:pt idx="0">
                  <c:v>ממוצע של מחיר לצרכן ללא מע"מ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'פתרון 38'!$A$2:$A$9</c:f>
              <c:strCache>
                <c:ptCount val="7"/>
                <c:pt idx="0">
                  <c:v>הליכה גברים</c:v>
                </c:pt>
                <c:pt idx="1">
                  <c:v>הליכה נשים</c:v>
                </c:pt>
                <c:pt idx="2">
                  <c:v>טניס ילדים</c:v>
                </c:pt>
                <c:pt idx="3">
                  <c:v>טניס נשים</c:v>
                </c:pt>
                <c:pt idx="4">
                  <c:v>ריצה גברים</c:v>
                </c:pt>
                <c:pt idx="5">
                  <c:v>ריצה ילדים</c:v>
                </c:pt>
                <c:pt idx="6">
                  <c:v>ריצה נשים</c:v>
                </c:pt>
              </c:strCache>
            </c:strRef>
          </c:cat>
          <c:val>
            <c:numRef>
              <c:f>'פתרון 38'!$C$2:$C$9</c:f>
              <c:numCache>
                <c:formatCode>General</c:formatCode>
                <c:ptCount val="7"/>
                <c:pt idx="0">
                  <c:v>450</c:v>
                </c:pt>
                <c:pt idx="1">
                  <c:v>300</c:v>
                </c:pt>
                <c:pt idx="2">
                  <c:v>350</c:v>
                </c:pt>
                <c:pt idx="3">
                  <c:v>475</c:v>
                </c:pt>
                <c:pt idx="4">
                  <c:v>550</c:v>
                </c:pt>
                <c:pt idx="5">
                  <c:v>350</c:v>
                </c:pt>
                <c:pt idx="6">
                  <c:v>533.33333333333337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665976"/>
        <c:axId val="544669504"/>
      </c:barChart>
      <c:catAx>
        <c:axId val="5446659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44669504"/>
        <c:crosses val="autoZero"/>
        <c:auto val="1"/>
        <c:lblAlgn val="ctr"/>
        <c:lblOffset val="100"/>
        <c:noMultiLvlLbl val="0"/>
      </c:catAx>
      <c:valAx>
        <c:axId val="5446695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4466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10</xdr:row>
      <xdr:rowOff>38100</xdr:rowOff>
    </xdr:from>
    <xdr:to>
      <xdr:col>12</xdr:col>
      <xdr:colOff>361950</xdr:colOff>
      <xdr:row>27</xdr:row>
      <xdr:rowOff>28575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Google%20Drive\MTA\&#1502;&#1489;&#1493;&#1488;%20&#1500;&#1496;&#1499;&#1504;&#1493;&#1500;&#1493;&#1490;&#1497;&#1493;&#1514;%20&#1502;&#1497;&#1491;&#1506;\&#1492;&#1512;&#1510;&#1488;&#1493;&#1514;\&#1497;&#1513;&#1503;\&#1488;&#1511;&#1505;&#1500;%20&#1505;&#1502;&#1505;&#1496;&#1512;%202015&#1489;\&#1492;&#1512;&#1510;&#1488;&#1492;%2014%202015.04.03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שי שקרוב" refreshedDate="40902.821531365742" createdVersion="3" refreshedVersion="3" minRefreshableVersion="3" recordCount="15">
  <cacheSource type="worksheet">
    <worksheetSource ref="A2:I17" sheet="6-27" r:id="rId2"/>
  </cacheSource>
  <cacheFields count="9">
    <cacheField name="שם הפריט" numFmtId="0">
      <sharedItems count="14">
        <s v="נייקי 920"/>
        <s v="ניו בלנס 605"/>
        <s v="נייקי 815"/>
        <s v="דיאדורה XL"/>
        <s v="פומה 6Z"/>
        <s v="נייקי 800"/>
        <s v="ניו בלנס 625"/>
        <s v="דיאדורה KL"/>
        <s v="פומה 13B"/>
        <s v="נייקי 754"/>
        <s v="ניו בלנס 555"/>
        <s v="נייקי 987"/>
        <s v="דיאדורה MW"/>
        <s v="פומה 12C"/>
      </sharedItems>
    </cacheField>
    <cacheField name="סוג" numFmtId="0">
      <sharedItems count="7">
        <s v="טניס נשים"/>
        <s v="ריצה גברים"/>
        <s v="הליכה גברים"/>
        <s v="טניס ילדים"/>
        <s v="הליכה נשים"/>
        <s v="ריצה נשים"/>
        <s v="ריצה ילדים"/>
      </sharedItems>
    </cacheField>
    <cacheField name="עלות ללא מע&quot;מ" numFmtId="168">
      <sharedItems containsSemiMixedTypes="0" containsString="0" containsNumber="1" containsInteger="1" minValue="150" maxValue="325"/>
    </cacheField>
    <cacheField name="מחיר לצרכן ללא מע&quot;מ" numFmtId="168">
      <sharedItems containsSemiMixedTypes="0" containsString="0" containsNumber="1" containsInteger="1" minValue="300" maxValue="650"/>
    </cacheField>
    <cacheField name="כמות במלאי" numFmtId="1">
      <sharedItems containsSemiMixedTypes="0" containsString="0" containsNumber="1" containsInteger="1" minValue="18" maxValue="98"/>
    </cacheField>
    <cacheField name="ערך המלאי" numFmtId="168">
      <sharedItems containsSemiMixedTypes="0" containsString="0" containsNumber="1" containsInteger="1" minValue="5850" maxValue="14700"/>
    </cacheField>
    <cacheField name="התראת עודף במלאי" numFmtId="0">
      <sharedItems/>
    </cacheField>
    <cacheField name="שיעור הנחה לצרכן" numFmtId="10">
      <sharedItems containsSemiMixedTypes="0" containsString="0" containsNumber="1" minValue="0.05" maxValue="0.45"/>
    </cacheField>
    <cacheField name="מחיר לצרכן לאחר הנחה כולל מע&quot;מ" numFmtId="168">
      <sharedItems containsSemiMixedTypes="0" containsString="0" containsNumber="1" minValue="208.79999999999998" maxValue="678.59999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שי שקרוב" refreshedDate="43436.55151365741" createdVersion="5" refreshedVersion="5" minRefreshableVersion="3" recordCount="10">
  <cacheSource type="worksheet">
    <worksheetSource ref="B3:R13" sheet="פתרון 16"/>
  </cacheSource>
  <cacheFields count="17">
    <cacheField name="ת.ז." numFmtId="164">
      <sharedItems containsSemiMixedTypes="0" containsString="0" containsNumber="1" containsInteger="1" minValue="123456789" maxValue="987654321"/>
    </cacheField>
    <cacheField name="שם הסטודנט" numFmtId="0">
      <sharedItems/>
    </cacheField>
    <cacheField name="מגדר" numFmtId="0">
      <sharedItems count="2">
        <s v="ז"/>
        <s v="נ"/>
      </sharedItems>
    </cacheField>
    <cacheField name="טלפון" numFmtId="165">
      <sharedItems containsSemiMixedTypes="0" containsString="0" containsNumber="1" containsInteger="1" minValue="2118758" maxValue="9877665"/>
    </cacheField>
    <cacheField name="מיקוד" numFmtId="166">
      <sharedItems containsSemiMixedTypes="0" containsString="0" containsNumber="1" containsInteger="1" minValue="123" maxValue="86534"/>
    </cacheField>
    <cacheField name="התמחות" numFmtId="0">
      <sharedItems count="2">
        <s v="שיווק"/>
        <s v="חשבונאות"/>
      </sharedItems>
    </cacheField>
    <cacheField name="ציון ת. 1" numFmtId="0">
      <sharedItems containsString="0" containsBlank="1" containsNumber="1" containsInteger="1" minValue="45" maxValue="94"/>
    </cacheField>
    <cacheField name="ציון ת. 2" numFmtId="0">
      <sharedItems containsString="0" containsBlank="1" containsNumber="1" containsInteger="1" minValue="60" maxValue="100"/>
    </cacheField>
    <cacheField name="ציון ת. 3" numFmtId="0">
      <sharedItems containsString="0" containsBlank="1" containsNumber="1" containsInteger="1" minValue="69" maxValue="99"/>
    </cacheField>
    <cacheField name="ממוצע  תרגילים" numFmtId="2">
      <sharedItems containsSemiMixedTypes="0" containsString="0" containsNumber="1" minValue="52.5" maxValue="95.666666666666671"/>
    </cacheField>
    <cacheField name="ציון פרויקט" numFmtId="0">
      <sharedItems containsSemiMixedTypes="0" containsString="0" containsNumber="1" containsInteger="1" minValue="40" maxValue="100"/>
    </cacheField>
    <cacheField name="ציון בחינה" numFmtId="0">
      <sharedItems containsString="0" containsBlank="1" containsNumber="1" containsInteger="1" minValue="45" maxValue="100"/>
    </cacheField>
    <cacheField name="ציון סופי" numFmtId="167">
      <sharedItems containsSemiMixedTypes="0" containsString="0" containsNumber="1" containsInteger="1" minValue="44" maxValue="97"/>
    </cacheField>
    <cacheField name="ציון במילים" numFmtId="0">
      <sharedItems/>
    </cacheField>
    <cacheField name="נשים מצטיינות" numFmtId="0">
      <sharedItems/>
    </cacheField>
    <cacheField name="נשים או מצטיינים" numFmtId="0">
      <sharedItems/>
    </cacheField>
    <cacheField name="לא נכשלו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שי שקרוב" refreshedDate="43436.55490023148" createdVersion="5" refreshedVersion="5" minRefreshableVersion="3" recordCount="15">
  <cacheSource type="worksheet">
    <worksheetSource ref="A2:I17" sheet="17-38"/>
  </cacheSource>
  <cacheFields count="9">
    <cacheField name="שם הפריט" numFmtId="0">
      <sharedItems/>
    </cacheField>
    <cacheField name="סוג" numFmtId="0">
      <sharedItems count="7">
        <s v="טניס נשים"/>
        <s v="ריצה גברים"/>
        <s v="הליכה גברים"/>
        <s v="טניס ילדים"/>
        <s v="הליכה נשים"/>
        <s v="ריצה נשים"/>
        <s v="ריצה ילדים"/>
      </sharedItems>
    </cacheField>
    <cacheField name="עלות ללא מע&quot;מ" numFmtId="169">
      <sharedItems containsSemiMixedTypes="0" containsString="0" containsNumber="1" containsInteger="1" minValue="150" maxValue="325"/>
    </cacheField>
    <cacheField name="מחיר לצרכן ללא מע&quot;מ" numFmtId="169">
      <sharedItems containsSemiMixedTypes="0" containsString="0" containsNumber="1" containsInteger="1" minValue="300" maxValue="650"/>
    </cacheField>
    <cacheField name="כמות במלאי" numFmtId="1">
      <sharedItems containsSemiMixedTypes="0" containsString="0" containsNumber="1" containsInteger="1" minValue="18" maxValue="98"/>
    </cacheField>
    <cacheField name="ערך המלאי" numFmtId="169">
      <sharedItems containsSemiMixedTypes="0" containsString="0" containsNumber="1" containsInteger="1" minValue="5850" maxValue="14700"/>
    </cacheField>
    <cacheField name="התראת עודף במלאי" numFmtId="0">
      <sharedItems/>
    </cacheField>
    <cacheField name="שיעור הנחה לצרכן" numFmtId="10">
      <sharedItems containsSemiMixedTypes="0" containsString="0" containsNumber="1" minValue="0.05" maxValue="0.45"/>
    </cacheField>
    <cacheField name="מחיר לצרכן לאחר הנחה כולל מע&quot;מ" numFmtId="169">
      <sharedItems containsSemiMixedTypes="0" containsString="0" containsNumber="1" minValue="208.79999999999998" maxValue="678.59999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325"/>
    <n v="650"/>
    <n v="18"/>
    <n v="5850"/>
    <s v=""/>
    <n v="0.25"/>
    <n v="565.5"/>
  </r>
  <r>
    <x v="1"/>
    <x v="1"/>
    <n v="275"/>
    <n v="550"/>
    <n v="38"/>
    <n v="10450"/>
    <s v=""/>
    <n v="0.15"/>
    <n v="542.29999999999995"/>
  </r>
  <r>
    <x v="2"/>
    <x v="2"/>
    <n v="225"/>
    <n v="450"/>
    <n v="58"/>
    <n v="13050"/>
    <s v="מוצר מועדף"/>
    <n v="0.45"/>
    <n v="287.10000000000002"/>
  </r>
  <r>
    <x v="3"/>
    <x v="3"/>
    <n v="175"/>
    <n v="350"/>
    <n v="78"/>
    <n v="13650"/>
    <s v="מוצר מועדף"/>
    <n v="0.2"/>
    <n v="324.79999999999995"/>
  </r>
  <r>
    <x v="4"/>
    <x v="4"/>
    <n v="150"/>
    <n v="300"/>
    <n v="98"/>
    <n v="14700"/>
    <s v="מוצר מועדף"/>
    <n v="0.4"/>
    <n v="208.79999999999998"/>
  </r>
  <r>
    <x v="5"/>
    <x v="5"/>
    <n v="325"/>
    <n v="650"/>
    <n v="18"/>
    <n v="5850"/>
    <s v=""/>
    <n v="0.1"/>
    <n v="678.59999999999991"/>
  </r>
  <r>
    <x v="6"/>
    <x v="1"/>
    <n v="275"/>
    <n v="550"/>
    <n v="38"/>
    <n v="10450"/>
    <s v=""/>
    <n v="0.15"/>
    <n v="542.29999999999995"/>
  </r>
  <r>
    <x v="2"/>
    <x v="2"/>
    <n v="225"/>
    <n v="450"/>
    <n v="58"/>
    <n v="13050"/>
    <s v="מוצר מועדף"/>
    <n v="0.45"/>
    <n v="287.10000000000002"/>
  </r>
  <r>
    <x v="7"/>
    <x v="6"/>
    <n v="175"/>
    <n v="350"/>
    <n v="78"/>
    <n v="13650"/>
    <s v="מוצר מועדף"/>
    <n v="0.05"/>
    <n v="385.7"/>
  </r>
  <r>
    <x v="8"/>
    <x v="0"/>
    <n v="150"/>
    <n v="300"/>
    <n v="98"/>
    <n v="14700"/>
    <s v="מוצר מועדף"/>
    <n v="0.25"/>
    <n v="261"/>
  </r>
  <r>
    <x v="9"/>
    <x v="5"/>
    <n v="325"/>
    <n v="650"/>
    <n v="18"/>
    <n v="5850"/>
    <s v=""/>
    <n v="0.1"/>
    <n v="678.59999999999991"/>
  </r>
  <r>
    <x v="10"/>
    <x v="1"/>
    <n v="275"/>
    <n v="550"/>
    <n v="38"/>
    <n v="10450"/>
    <s v=""/>
    <n v="0.15"/>
    <n v="542.29999999999995"/>
  </r>
  <r>
    <x v="11"/>
    <x v="2"/>
    <n v="225"/>
    <n v="450"/>
    <n v="58"/>
    <n v="13050"/>
    <s v="מוצר מועדף"/>
    <n v="0.45"/>
    <n v="287.10000000000002"/>
  </r>
  <r>
    <x v="12"/>
    <x v="3"/>
    <n v="175"/>
    <n v="350"/>
    <n v="78"/>
    <n v="13650"/>
    <s v="מוצר מועדף"/>
    <n v="0.2"/>
    <n v="324.79999999999995"/>
  </r>
  <r>
    <x v="13"/>
    <x v="5"/>
    <n v="150"/>
    <n v="300"/>
    <n v="98"/>
    <n v="14700"/>
    <s v="מוצר מועדף"/>
    <n v="0.1"/>
    <n v="313.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n v="123456789"/>
    <s v="דניאל"/>
    <x v="0"/>
    <n v="9877665"/>
    <n v="123"/>
    <x v="0"/>
    <n v="89"/>
    <n v="86"/>
    <n v="99"/>
    <n v="91.333333333333329"/>
    <n v="99"/>
    <n v="80"/>
    <n v="89"/>
    <s v="מצטיין"/>
    <s v=""/>
    <s v="מלגה"/>
    <s v="מלגה"/>
  </r>
  <r>
    <n v="193878400"/>
    <s v="טלי"/>
    <x v="1"/>
    <n v="9876544"/>
    <n v="70000"/>
    <x v="0"/>
    <n v="81"/>
    <n v="80"/>
    <n v="82"/>
    <n v="81"/>
    <n v="81"/>
    <n v="81"/>
    <n v="81"/>
    <s v="עובר"/>
    <s v=""/>
    <s v="מלגה"/>
    <s v="מלגה"/>
  </r>
  <r>
    <n v="244576280"/>
    <s v="שחר"/>
    <x v="1"/>
    <n v="3252524"/>
    <n v="44451"/>
    <x v="1"/>
    <n v="94"/>
    <n v="100"/>
    <n v="93"/>
    <n v="95.666666666666671"/>
    <n v="95"/>
    <n v="100"/>
    <n v="97"/>
    <s v="מצטיין"/>
    <s v="מלגה"/>
    <s v="מלגה"/>
    <s v="מלגה"/>
  </r>
  <r>
    <n v="298754355"/>
    <s v="רמי"/>
    <x v="0"/>
    <n v="8763456"/>
    <n v="83934"/>
    <x v="1"/>
    <n v="88"/>
    <n v="90"/>
    <n v="74"/>
    <n v="84"/>
    <n v="55"/>
    <n v="45"/>
    <n v="60"/>
    <s v="עובר"/>
    <s v=""/>
    <s v=""/>
    <s v="מלגה"/>
  </r>
  <r>
    <n v="388923057"/>
    <s v="מיכל"/>
    <x v="1"/>
    <n v="8743644"/>
    <n v="44141"/>
    <x v="1"/>
    <n v="60"/>
    <n v="100"/>
    <n v="80"/>
    <n v="80"/>
    <n v="40"/>
    <n v="61"/>
    <n v="60"/>
    <s v="עובר"/>
    <s v=""/>
    <s v="מלגה"/>
    <s v="מלגה"/>
  </r>
  <r>
    <n v="658370843"/>
    <s v="יעל"/>
    <x v="1"/>
    <n v="2118758"/>
    <n v="55326"/>
    <x v="0"/>
    <n v="67"/>
    <n v="99"/>
    <n v="69"/>
    <n v="78.333333333333329"/>
    <n v="90"/>
    <n v="85"/>
    <n v="85"/>
    <s v="מצטיין"/>
    <s v="מלגה"/>
    <s v="מלגה"/>
    <s v="מלגה"/>
  </r>
  <r>
    <n v="830998987"/>
    <s v="מיכל"/>
    <x v="1"/>
    <n v="3527439"/>
    <n v="56324"/>
    <x v="0"/>
    <n v="80"/>
    <m/>
    <n v="87"/>
    <n v="83.5"/>
    <n v="90"/>
    <m/>
    <n v="44"/>
    <s v="נכשל"/>
    <s v=""/>
    <s v="מלגה"/>
    <s v=""/>
  </r>
  <r>
    <n v="947465892"/>
    <s v="שחר"/>
    <x v="0"/>
    <n v="3434324"/>
    <n v="41466"/>
    <x v="1"/>
    <m/>
    <n v="79"/>
    <n v="99"/>
    <n v="89"/>
    <n v="86"/>
    <n v="65"/>
    <n v="70"/>
    <s v="עובר"/>
    <s v=""/>
    <s v=""/>
    <s v="מלגה"/>
  </r>
  <r>
    <n v="983687692"/>
    <s v="שרון"/>
    <x v="1"/>
    <n v="6347234"/>
    <n v="55235"/>
    <x v="1"/>
    <n v="45"/>
    <n v="60"/>
    <m/>
    <n v="52.5"/>
    <n v="99"/>
    <n v="94"/>
    <n v="78"/>
    <s v="עובר"/>
    <s v=""/>
    <s v="מלגה"/>
    <s v="מלגה"/>
  </r>
  <r>
    <n v="987654321"/>
    <s v="יעקב"/>
    <x v="0"/>
    <n v="7563094"/>
    <n v="86534"/>
    <x v="0"/>
    <n v="91"/>
    <n v="79"/>
    <n v="85"/>
    <n v="85"/>
    <n v="100"/>
    <n v="50"/>
    <n v="76"/>
    <s v="עובר"/>
    <s v=""/>
    <s v=""/>
    <s v="מלגה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">
  <r>
    <s v="נייקי 920"/>
    <x v="0"/>
    <n v="325"/>
    <n v="650"/>
    <n v="18"/>
    <n v="5850"/>
    <s v=""/>
    <n v="0.25"/>
    <n v="565.5"/>
  </r>
  <r>
    <s v="ניו בלנס 605"/>
    <x v="1"/>
    <n v="275"/>
    <n v="550"/>
    <n v="38"/>
    <n v="10450"/>
    <s v=""/>
    <n v="0.15"/>
    <n v="542.29999999999995"/>
  </r>
  <r>
    <s v="נייקי 815"/>
    <x v="2"/>
    <n v="225"/>
    <n v="450"/>
    <n v="58"/>
    <n v="13050"/>
    <s v="מוצר מועדף"/>
    <n v="0.45"/>
    <n v="287.10000000000002"/>
  </r>
  <r>
    <s v="דיאדורה XL"/>
    <x v="3"/>
    <n v="175"/>
    <n v="350"/>
    <n v="78"/>
    <n v="13650"/>
    <s v="מוצר מועדף"/>
    <n v="0.2"/>
    <n v="324.79999999999995"/>
  </r>
  <r>
    <s v="פומה 6Z"/>
    <x v="4"/>
    <n v="150"/>
    <n v="300"/>
    <n v="98"/>
    <n v="14700"/>
    <s v="מוצר מועדף"/>
    <n v="0.4"/>
    <n v="208.79999999999998"/>
  </r>
  <r>
    <s v="נייקי 800"/>
    <x v="5"/>
    <n v="325"/>
    <n v="650"/>
    <n v="18"/>
    <n v="5850"/>
    <s v=""/>
    <n v="0.1"/>
    <n v="678.59999999999991"/>
  </r>
  <r>
    <s v="ניו בלנס 625"/>
    <x v="1"/>
    <n v="275"/>
    <n v="550"/>
    <n v="38"/>
    <n v="10450"/>
    <s v=""/>
    <n v="0.15"/>
    <n v="542.29999999999995"/>
  </r>
  <r>
    <s v="נייקי 815"/>
    <x v="2"/>
    <n v="225"/>
    <n v="450"/>
    <n v="58"/>
    <n v="13050"/>
    <s v="מוצר מועדף"/>
    <n v="0.45"/>
    <n v="287.10000000000002"/>
  </r>
  <r>
    <s v="דיאדורה KL"/>
    <x v="6"/>
    <n v="175"/>
    <n v="350"/>
    <n v="78"/>
    <n v="13650"/>
    <s v="מוצר מועדף"/>
    <n v="0.05"/>
    <n v="385.7"/>
  </r>
  <r>
    <s v="פומה 13B"/>
    <x v="0"/>
    <n v="150"/>
    <n v="300"/>
    <n v="98"/>
    <n v="14700"/>
    <s v="מוצר מועדף"/>
    <n v="0.25"/>
    <n v="261"/>
  </r>
  <r>
    <s v="נייקי 754"/>
    <x v="5"/>
    <n v="325"/>
    <n v="650"/>
    <n v="18"/>
    <n v="5850"/>
    <s v=""/>
    <n v="0.1"/>
    <n v="678.59999999999991"/>
  </r>
  <r>
    <s v="ניו בלנס 555"/>
    <x v="1"/>
    <n v="275"/>
    <n v="550"/>
    <n v="38"/>
    <n v="10450"/>
    <s v=""/>
    <n v="0.15"/>
    <n v="542.29999999999995"/>
  </r>
  <r>
    <s v="נייקי 987"/>
    <x v="2"/>
    <n v="225"/>
    <n v="450"/>
    <n v="58"/>
    <n v="13050"/>
    <s v="מוצר מועדף"/>
    <n v="0.45"/>
    <n v="287.10000000000002"/>
  </r>
  <r>
    <s v="דיאדורה MW"/>
    <x v="3"/>
    <n v="175"/>
    <n v="350"/>
    <n v="78"/>
    <n v="13650"/>
    <s v="מוצר מועדף"/>
    <n v="0.2"/>
    <n v="324.79999999999995"/>
  </r>
  <r>
    <s v="פומה 12C"/>
    <x v="5"/>
    <n v="150"/>
    <n v="300"/>
    <n v="98"/>
    <n v="14700"/>
    <s v="מוצר מועדף"/>
    <n v="0.1"/>
    <n v="313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ערכים" updatedVersion="5" minRefreshableVersion="3" useAutoFormatting="1" itemPrintTitles="1" createdVersion="5" indent="0" outline="1" outlineData="1" multipleFieldFilters="0">
  <location ref="G33:J37" firstHeaderRow="1" firstDataRow="2" firstDataCol="1"/>
  <pivotFields count="17">
    <pivotField numFmtId="164" showAll="0"/>
    <pivotField showAll="0"/>
    <pivotField axis="axisCol" showAll="0">
      <items count="3">
        <item x="0"/>
        <item x="1"/>
        <item t="default"/>
      </items>
    </pivotField>
    <pivotField numFmtId="165" showAll="0"/>
    <pivotField numFmtId="166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numFmtId="2" showAll="0"/>
    <pivotField showAll="0"/>
    <pivotField showAll="0"/>
    <pivotField dataField="1" numFmtId="167"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ממוצע של ציון סופי" fld="12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ערכים" updatedVersion="3" minRefreshableVersion="3" showCalcMbrs="0" useAutoFormatting="1" itemPrintTitles="1" createdVersion="3" indent="0" outline="1" outlineData="1" multipleFieldFilters="0">
  <location ref="A3:F26" firstHeaderRow="1" firstDataRow="2" firstDataCol="1"/>
  <pivotFields count="9">
    <pivotField axis="axisRow" showAll="0">
      <items count="15">
        <item x="7"/>
        <item x="12"/>
        <item x="3"/>
        <item x="10"/>
        <item x="1"/>
        <item x="6"/>
        <item x="9"/>
        <item x="5"/>
        <item x="2"/>
        <item x="0"/>
        <item x="11"/>
        <item x="13"/>
        <item x="8"/>
        <item x="4"/>
        <item t="default"/>
      </items>
    </pivotField>
    <pivotField axis="axisRow" showAll="0" sortType="ascending">
      <items count="8">
        <item x="2"/>
        <item x="3"/>
        <item x="1"/>
        <item x="5"/>
        <item x="0"/>
        <item x="4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9" showAll="0"/>
    <pivotField numFmtId="169" showAll="0"/>
    <pivotField dataField="1" numFmtId="1" showAll="0"/>
    <pivotField dataField="1" numFmtId="169" showAll="0"/>
    <pivotField showAll="0"/>
    <pivotField numFmtId="10" showAll="0"/>
    <pivotField numFmtId="169" showAll="0"/>
  </pivotFields>
  <rowFields count="2">
    <field x="1"/>
    <field x="0"/>
  </rowFields>
  <rowItems count="22">
    <i>
      <x v="6"/>
    </i>
    <i r="1">
      <x/>
    </i>
    <i>
      <x v="5"/>
    </i>
    <i r="1">
      <x v="13"/>
    </i>
    <i>
      <x v="2"/>
    </i>
    <i r="1">
      <x v="3"/>
    </i>
    <i r="1">
      <x v="4"/>
    </i>
    <i r="1">
      <x v="5"/>
    </i>
    <i>
      <x v="4"/>
    </i>
    <i r="1">
      <x v="9"/>
    </i>
    <i r="1">
      <x v="12"/>
    </i>
    <i>
      <x v="3"/>
    </i>
    <i r="1">
      <x v="6"/>
    </i>
    <i r="1">
      <x v="7"/>
    </i>
    <i r="1">
      <x v="11"/>
    </i>
    <i>
      <x v="1"/>
    </i>
    <i r="1">
      <x v="1"/>
    </i>
    <i r="1">
      <x v="2"/>
    </i>
    <i>
      <x/>
    </i>
    <i r="1">
      <x v="8"/>
    </i>
    <i r="1"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ס&quot;ה הכמות במלאי" fld="4" baseField="0" baseItem="0"/>
    <dataField name="אחוז מתוך ס&quot;ה הכמות במלאי" fld="4" showDataAs="percentOfTotal" baseField="0" baseItem="0" numFmtId="10"/>
    <dataField name="ממוצע הכמות במלאי" fld="4" subtotal="average" baseField="0" baseItem="0" numFmtId="173"/>
    <dataField name="ס&quot;ה ערך המלאי" fld="5" baseField="0" baseItem="0" numFmtId="6"/>
    <dataField name="ממוצע ערך המלאי" fld="5" subtotal="average" baseField="0" baseItem="0" numFmtId="6"/>
  </dataFields>
  <formats count="7">
    <format dxfId="37">
      <pivotArea field="1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35">
      <pivotArea field="1" type="button" dataOnly="0" labelOnly="1" outline="0" axis="axisRow" fieldPosition="0"/>
    </format>
    <format dxfId="34">
      <pivotArea outline="0" fieldPosition="0">
        <references count="1">
          <reference field="4294967294" count="1"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">
      <pivotArea outline="0" fieldPosition="0">
        <references count="1">
          <reference field="4294967294" count="1">
            <x v="3"/>
          </reference>
        </references>
      </pivotArea>
    </format>
    <format dxfId="31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19" applyNumberFormats="0" applyBorderFormats="0" applyFontFormats="0" applyPatternFormats="0" applyAlignmentFormats="0" applyWidthHeightFormats="1" dataCaption="ערכים" updatedVersion="5" minRefreshableVersion="3" useAutoFormatting="1" itemPrintTitles="1" createdVersion="5" indent="0" outline="1" outlineData="1" multipleFieldFilters="0" chartFormat="1">
  <location ref="A1:C9" firstHeaderRow="0" firstDataRow="1" firstDataCol="1"/>
  <pivotFields count="9">
    <pivotField showAll="0"/>
    <pivotField axis="axisRow" showAll="0">
      <items count="8">
        <item x="2"/>
        <item x="4"/>
        <item x="3"/>
        <item x="0"/>
        <item x="1"/>
        <item x="6"/>
        <item x="5"/>
        <item t="default"/>
      </items>
    </pivotField>
    <pivotField dataField="1" numFmtId="169" showAll="0"/>
    <pivotField dataField="1" numFmtId="169" showAll="0"/>
    <pivotField numFmtId="1" showAll="0"/>
    <pivotField numFmtId="169" showAll="0"/>
    <pivotField showAll="0"/>
    <pivotField numFmtId="10" showAll="0"/>
    <pivotField numFmtId="169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ממוצע של עלות ללא מע&quot;מ" fld="2" subtotal="average" baseField="1" baseItem="0"/>
    <dataField name="ממוצע של מחיר לצרכן ללא מע&quot;מ" fld="3" subtotal="average" baseField="1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tabSelected="1" workbookViewId="0">
      <selection sqref="A1:I1"/>
    </sheetView>
  </sheetViews>
  <sheetFormatPr defaultRowHeight="12.75"/>
  <cols>
    <col min="1" max="1" width="24" style="99" bestFit="1" customWidth="1"/>
    <col min="2" max="2" width="10.28515625" style="99" bestFit="1" customWidth="1"/>
    <col min="3" max="3" width="8.5703125" style="99" bestFit="1" customWidth="1"/>
    <col min="4" max="4" width="5.7109375" style="99" bestFit="1" customWidth="1"/>
    <col min="5" max="5" width="8.42578125" style="99" bestFit="1" customWidth="1"/>
    <col min="6" max="6" width="10.140625" style="99" bestFit="1" customWidth="1"/>
    <col min="7" max="7" width="10.140625" style="99" customWidth="1"/>
    <col min="8" max="8" width="7.28515625" style="99" bestFit="1" customWidth="1"/>
    <col min="9" max="9" width="8.85546875" style="99" bestFit="1" customWidth="1"/>
    <col min="10" max="257" width="9.140625" style="99"/>
    <col min="258" max="258" width="24" style="99" bestFit="1" customWidth="1"/>
    <col min="259" max="259" width="10.28515625" style="99" bestFit="1" customWidth="1"/>
    <col min="260" max="260" width="8.5703125" style="99" bestFit="1" customWidth="1"/>
    <col min="261" max="261" width="5.7109375" style="99" bestFit="1" customWidth="1"/>
    <col min="262" max="262" width="8.42578125" style="99" bestFit="1" customWidth="1"/>
    <col min="263" max="263" width="10.140625" style="99" bestFit="1" customWidth="1"/>
    <col min="264" max="264" width="7.28515625" style="99" bestFit="1" customWidth="1"/>
    <col min="265" max="265" width="8.85546875" style="99" bestFit="1" customWidth="1"/>
    <col min="266" max="513" width="9.140625" style="99"/>
    <col min="514" max="514" width="24" style="99" bestFit="1" customWidth="1"/>
    <col min="515" max="515" width="10.28515625" style="99" bestFit="1" customWidth="1"/>
    <col min="516" max="516" width="8.5703125" style="99" bestFit="1" customWidth="1"/>
    <col min="517" max="517" width="5.7109375" style="99" bestFit="1" customWidth="1"/>
    <col min="518" max="518" width="8.42578125" style="99" bestFit="1" customWidth="1"/>
    <col min="519" max="519" width="10.140625" style="99" bestFit="1" customWidth="1"/>
    <col min="520" max="520" width="7.28515625" style="99" bestFit="1" customWidth="1"/>
    <col min="521" max="521" width="8.85546875" style="99" bestFit="1" customWidth="1"/>
    <col min="522" max="769" width="9.140625" style="99"/>
    <col min="770" max="770" width="24" style="99" bestFit="1" customWidth="1"/>
    <col min="771" max="771" width="10.28515625" style="99" bestFit="1" customWidth="1"/>
    <col min="772" max="772" width="8.5703125" style="99" bestFit="1" customWidth="1"/>
    <col min="773" max="773" width="5.7109375" style="99" bestFit="1" customWidth="1"/>
    <col min="774" max="774" width="8.42578125" style="99" bestFit="1" customWidth="1"/>
    <col min="775" max="775" width="10.140625" style="99" bestFit="1" customWidth="1"/>
    <col min="776" max="776" width="7.28515625" style="99" bestFit="1" customWidth="1"/>
    <col min="777" max="777" width="8.85546875" style="99" bestFit="1" customWidth="1"/>
    <col min="778" max="1025" width="9.140625" style="99"/>
    <col min="1026" max="1026" width="24" style="99" bestFit="1" customWidth="1"/>
    <col min="1027" max="1027" width="10.28515625" style="99" bestFit="1" customWidth="1"/>
    <col min="1028" max="1028" width="8.5703125" style="99" bestFit="1" customWidth="1"/>
    <col min="1029" max="1029" width="5.7109375" style="99" bestFit="1" customWidth="1"/>
    <col min="1030" max="1030" width="8.42578125" style="99" bestFit="1" customWidth="1"/>
    <col min="1031" max="1031" width="10.140625" style="99" bestFit="1" customWidth="1"/>
    <col min="1032" max="1032" width="7.28515625" style="99" bestFit="1" customWidth="1"/>
    <col min="1033" max="1033" width="8.85546875" style="99" bestFit="1" customWidth="1"/>
    <col min="1034" max="1281" width="9.140625" style="99"/>
    <col min="1282" max="1282" width="24" style="99" bestFit="1" customWidth="1"/>
    <col min="1283" max="1283" width="10.28515625" style="99" bestFit="1" customWidth="1"/>
    <col min="1284" max="1284" width="8.5703125" style="99" bestFit="1" customWidth="1"/>
    <col min="1285" max="1285" width="5.7109375" style="99" bestFit="1" customWidth="1"/>
    <col min="1286" max="1286" width="8.42578125" style="99" bestFit="1" customWidth="1"/>
    <col min="1287" max="1287" width="10.140625" style="99" bestFit="1" customWidth="1"/>
    <col min="1288" max="1288" width="7.28515625" style="99" bestFit="1" customWidth="1"/>
    <col min="1289" max="1289" width="8.85546875" style="99" bestFit="1" customWidth="1"/>
    <col min="1290" max="1537" width="9.140625" style="99"/>
    <col min="1538" max="1538" width="24" style="99" bestFit="1" customWidth="1"/>
    <col min="1539" max="1539" width="10.28515625" style="99" bestFit="1" customWidth="1"/>
    <col min="1540" max="1540" width="8.5703125" style="99" bestFit="1" customWidth="1"/>
    <col min="1541" max="1541" width="5.7109375" style="99" bestFit="1" customWidth="1"/>
    <col min="1542" max="1542" width="8.42578125" style="99" bestFit="1" customWidth="1"/>
    <col min="1543" max="1543" width="10.140625" style="99" bestFit="1" customWidth="1"/>
    <col min="1544" max="1544" width="7.28515625" style="99" bestFit="1" customWidth="1"/>
    <col min="1545" max="1545" width="8.85546875" style="99" bestFit="1" customWidth="1"/>
    <col min="1546" max="1793" width="9.140625" style="99"/>
    <col min="1794" max="1794" width="24" style="99" bestFit="1" customWidth="1"/>
    <col min="1795" max="1795" width="10.28515625" style="99" bestFit="1" customWidth="1"/>
    <col min="1796" max="1796" width="8.5703125" style="99" bestFit="1" customWidth="1"/>
    <col min="1797" max="1797" width="5.7109375" style="99" bestFit="1" customWidth="1"/>
    <col min="1798" max="1798" width="8.42578125" style="99" bestFit="1" customWidth="1"/>
    <col min="1799" max="1799" width="10.140625" style="99" bestFit="1" customWidth="1"/>
    <col min="1800" max="1800" width="7.28515625" style="99" bestFit="1" customWidth="1"/>
    <col min="1801" max="1801" width="8.85546875" style="99" bestFit="1" customWidth="1"/>
    <col min="1802" max="2049" width="9.140625" style="99"/>
    <col min="2050" max="2050" width="24" style="99" bestFit="1" customWidth="1"/>
    <col min="2051" max="2051" width="10.28515625" style="99" bestFit="1" customWidth="1"/>
    <col min="2052" max="2052" width="8.5703125" style="99" bestFit="1" customWidth="1"/>
    <col min="2053" max="2053" width="5.7109375" style="99" bestFit="1" customWidth="1"/>
    <col min="2054" max="2054" width="8.42578125" style="99" bestFit="1" customWidth="1"/>
    <col min="2055" max="2055" width="10.140625" style="99" bestFit="1" customWidth="1"/>
    <col min="2056" max="2056" width="7.28515625" style="99" bestFit="1" customWidth="1"/>
    <col min="2057" max="2057" width="8.85546875" style="99" bestFit="1" customWidth="1"/>
    <col min="2058" max="2305" width="9.140625" style="99"/>
    <col min="2306" max="2306" width="24" style="99" bestFit="1" customWidth="1"/>
    <col min="2307" max="2307" width="10.28515625" style="99" bestFit="1" customWidth="1"/>
    <col min="2308" max="2308" width="8.5703125" style="99" bestFit="1" customWidth="1"/>
    <col min="2309" max="2309" width="5.7109375" style="99" bestFit="1" customWidth="1"/>
    <col min="2310" max="2310" width="8.42578125" style="99" bestFit="1" customWidth="1"/>
    <col min="2311" max="2311" width="10.140625" style="99" bestFit="1" customWidth="1"/>
    <col min="2312" max="2312" width="7.28515625" style="99" bestFit="1" customWidth="1"/>
    <col min="2313" max="2313" width="8.85546875" style="99" bestFit="1" customWidth="1"/>
    <col min="2314" max="2561" width="9.140625" style="99"/>
    <col min="2562" max="2562" width="24" style="99" bestFit="1" customWidth="1"/>
    <col min="2563" max="2563" width="10.28515625" style="99" bestFit="1" customWidth="1"/>
    <col min="2564" max="2564" width="8.5703125" style="99" bestFit="1" customWidth="1"/>
    <col min="2565" max="2565" width="5.7109375" style="99" bestFit="1" customWidth="1"/>
    <col min="2566" max="2566" width="8.42578125" style="99" bestFit="1" customWidth="1"/>
    <col min="2567" max="2567" width="10.140625" style="99" bestFit="1" customWidth="1"/>
    <col min="2568" max="2568" width="7.28515625" style="99" bestFit="1" customWidth="1"/>
    <col min="2569" max="2569" width="8.85546875" style="99" bestFit="1" customWidth="1"/>
    <col min="2570" max="2817" width="9.140625" style="99"/>
    <col min="2818" max="2818" width="24" style="99" bestFit="1" customWidth="1"/>
    <col min="2819" max="2819" width="10.28515625" style="99" bestFit="1" customWidth="1"/>
    <col min="2820" max="2820" width="8.5703125" style="99" bestFit="1" customWidth="1"/>
    <col min="2821" max="2821" width="5.7109375" style="99" bestFit="1" customWidth="1"/>
    <col min="2822" max="2822" width="8.42578125" style="99" bestFit="1" customWidth="1"/>
    <col min="2823" max="2823" width="10.140625" style="99" bestFit="1" customWidth="1"/>
    <col min="2824" max="2824" width="7.28515625" style="99" bestFit="1" customWidth="1"/>
    <col min="2825" max="2825" width="8.85546875" style="99" bestFit="1" customWidth="1"/>
    <col min="2826" max="3073" width="9.140625" style="99"/>
    <col min="3074" max="3074" width="24" style="99" bestFit="1" customWidth="1"/>
    <col min="3075" max="3075" width="10.28515625" style="99" bestFit="1" customWidth="1"/>
    <col min="3076" max="3076" width="8.5703125" style="99" bestFit="1" customWidth="1"/>
    <col min="3077" max="3077" width="5.7109375" style="99" bestFit="1" customWidth="1"/>
    <col min="3078" max="3078" width="8.42578125" style="99" bestFit="1" customWidth="1"/>
    <col min="3079" max="3079" width="10.140625" style="99" bestFit="1" customWidth="1"/>
    <col min="3080" max="3080" width="7.28515625" style="99" bestFit="1" customWidth="1"/>
    <col min="3081" max="3081" width="8.85546875" style="99" bestFit="1" customWidth="1"/>
    <col min="3082" max="3329" width="9.140625" style="99"/>
    <col min="3330" max="3330" width="24" style="99" bestFit="1" customWidth="1"/>
    <col min="3331" max="3331" width="10.28515625" style="99" bestFit="1" customWidth="1"/>
    <col min="3332" max="3332" width="8.5703125" style="99" bestFit="1" customWidth="1"/>
    <col min="3333" max="3333" width="5.7109375" style="99" bestFit="1" customWidth="1"/>
    <col min="3334" max="3334" width="8.42578125" style="99" bestFit="1" customWidth="1"/>
    <col min="3335" max="3335" width="10.140625" style="99" bestFit="1" customWidth="1"/>
    <col min="3336" max="3336" width="7.28515625" style="99" bestFit="1" customWidth="1"/>
    <col min="3337" max="3337" width="8.85546875" style="99" bestFit="1" customWidth="1"/>
    <col min="3338" max="3585" width="9.140625" style="99"/>
    <col min="3586" max="3586" width="24" style="99" bestFit="1" customWidth="1"/>
    <col min="3587" max="3587" width="10.28515625" style="99" bestFit="1" customWidth="1"/>
    <col min="3588" max="3588" width="8.5703125" style="99" bestFit="1" customWidth="1"/>
    <col min="3589" max="3589" width="5.7109375" style="99" bestFit="1" customWidth="1"/>
    <col min="3590" max="3590" width="8.42578125" style="99" bestFit="1" customWidth="1"/>
    <col min="3591" max="3591" width="10.140625" style="99" bestFit="1" customWidth="1"/>
    <col min="3592" max="3592" width="7.28515625" style="99" bestFit="1" customWidth="1"/>
    <col min="3593" max="3593" width="8.85546875" style="99" bestFit="1" customWidth="1"/>
    <col min="3594" max="3841" width="9.140625" style="99"/>
    <col min="3842" max="3842" width="24" style="99" bestFit="1" customWidth="1"/>
    <col min="3843" max="3843" width="10.28515625" style="99" bestFit="1" customWidth="1"/>
    <col min="3844" max="3844" width="8.5703125" style="99" bestFit="1" customWidth="1"/>
    <col min="3845" max="3845" width="5.7109375" style="99" bestFit="1" customWidth="1"/>
    <col min="3846" max="3846" width="8.42578125" style="99" bestFit="1" customWidth="1"/>
    <col min="3847" max="3847" width="10.140625" style="99" bestFit="1" customWidth="1"/>
    <col min="3848" max="3848" width="7.28515625" style="99" bestFit="1" customWidth="1"/>
    <col min="3849" max="3849" width="8.85546875" style="99" bestFit="1" customWidth="1"/>
    <col min="3850" max="4097" width="9.140625" style="99"/>
    <col min="4098" max="4098" width="24" style="99" bestFit="1" customWidth="1"/>
    <col min="4099" max="4099" width="10.28515625" style="99" bestFit="1" customWidth="1"/>
    <col min="4100" max="4100" width="8.5703125" style="99" bestFit="1" customWidth="1"/>
    <col min="4101" max="4101" width="5.7109375" style="99" bestFit="1" customWidth="1"/>
    <col min="4102" max="4102" width="8.42578125" style="99" bestFit="1" customWidth="1"/>
    <col min="4103" max="4103" width="10.140625" style="99" bestFit="1" customWidth="1"/>
    <col min="4104" max="4104" width="7.28515625" style="99" bestFit="1" customWidth="1"/>
    <col min="4105" max="4105" width="8.85546875" style="99" bestFit="1" customWidth="1"/>
    <col min="4106" max="4353" width="9.140625" style="99"/>
    <col min="4354" max="4354" width="24" style="99" bestFit="1" customWidth="1"/>
    <col min="4355" max="4355" width="10.28515625" style="99" bestFit="1" customWidth="1"/>
    <col min="4356" max="4356" width="8.5703125" style="99" bestFit="1" customWidth="1"/>
    <col min="4357" max="4357" width="5.7109375" style="99" bestFit="1" customWidth="1"/>
    <col min="4358" max="4358" width="8.42578125" style="99" bestFit="1" customWidth="1"/>
    <col min="4359" max="4359" width="10.140625" style="99" bestFit="1" customWidth="1"/>
    <col min="4360" max="4360" width="7.28515625" style="99" bestFit="1" customWidth="1"/>
    <col min="4361" max="4361" width="8.85546875" style="99" bestFit="1" customWidth="1"/>
    <col min="4362" max="4609" width="9.140625" style="99"/>
    <col min="4610" max="4610" width="24" style="99" bestFit="1" customWidth="1"/>
    <col min="4611" max="4611" width="10.28515625" style="99" bestFit="1" customWidth="1"/>
    <col min="4612" max="4612" width="8.5703125" style="99" bestFit="1" customWidth="1"/>
    <col min="4613" max="4613" width="5.7109375" style="99" bestFit="1" customWidth="1"/>
    <col min="4614" max="4614" width="8.42578125" style="99" bestFit="1" customWidth="1"/>
    <col min="4615" max="4615" width="10.140625" style="99" bestFit="1" customWidth="1"/>
    <col min="4616" max="4616" width="7.28515625" style="99" bestFit="1" customWidth="1"/>
    <col min="4617" max="4617" width="8.85546875" style="99" bestFit="1" customWidth="1"/>
    <col min="4618" max="4865" width="9.140625" style="99"/>
    <col min="4866" max="4866" width="24" style="99" bestFit="1" customWidth="1"/>
    <col min="4867" max="4867" width="10.28515625" style="99" bestFit="1" customWidth="1"/>
    <col min="4868" max="4868" width="8.5703125" style="99" bestFit="1" customWidth="1"/>
    <col min="4869" max="4869" width="5.7109375" style="99" bestFit="1" customWidth="1"/>
    <col min="4870" max="4870" width="8.42578125" style="99" bestFit="1" customWidth="1"/>
    <col min="4871" max="4871" width="10.140625" style="99" bestFit="1" customWidth="1"/>
    <col min="4872" max="4872" width="7.28515625" style="99" bestFit="1" customWidth="1"/>
    <col min="4873" max="4873" width="8.85546875" style="99" bestFit="1" customWidth="1"/>
    <col min="4874" max="5121" width="9.140625" style="99"/>
    <col min="5122" max="5122" width="24" style="99" bestFit="1" customWidth="1"/>
    <col min="5123" max="5123" width="10.28515625" style="99" bestFit="1" customWidth="1"/>
    <col min="5124" max="5124" width="8.5703125" style="99" bestFit="1" customWidth="1"/>
    <col min="5125" max="5125" width="5.7109375" style="99" bestFit="1" customWidth="1"/>
    <col min="5126" max="5126" width="8.42578125" style="99" bestFit="1" customWidth="1"/>
    <col min="5127" max="5127" width="10.140625" style="99" bestFit="1" customWidth="1"/>
    <col min="5128" max="5128" width="7.28515625" style="99" bestFit="1" customWidth="1"/>
    <col min="5129" max="5129" width="8.85546875" style="99" bestFit="1" customWidth="1"/>
    <col min="5130" max="5377" width="9.140625" style="99"/>
    <col min="5378" max="5378" width="24" style="99" bestFit="1" customWidth="1"/>
    <col min="5379" max="5379" width="10.28515625" style="99" bestFit="1" customWidth="1"/>
    <col min="5380" max="5380" width="8.5703125" style="99" bestFit="1" customWidth="1"/>
    <col min="5381" max="5381" width="5.7109375" style="99" bestFit="1" customWidth="1"/>
    <col min="5382" max="5382" width="8.42578125" style="99" bestFit="1" customWidth="1"/>
    <col min="5383" max="5383" width="10.140625" style="99" bestFit="1" customWidth="1"/>
    <col min="5384" max="5384" width="7.28515625" style="99" bestFit="1" customWidth="1"/>
    <col min="5385" max="5385" width="8.85546875" style="99" bestFit="1" customWidth="1"/>
    <col min="5386" max="5633" width="9.140625" style="99"/>
    <col min="5634" max="5634" width="24" style="99" bestFit="1" customWidth="1"/>
    <col min="5635" max="5635" width="10.28515625" style="99" bestFit="1" customWidth="1"/>
    <col min="5636" max="5636" width="8.5703125" style="99" bestFit="1" customWidth="1"/>
    <col min="5637" max="5637" width="5.7109375" style="99" bestFit="1" customWidth="1"/>
    <col min="5638" max="5638" width="8.42578125" style="99" bestFit="1" customWidth="1"/>
    <col min="5639" max="5639" width="10.140625" style="99" bestFit="1" customWidth="1"/>
    <col min="5640" max="5640" width="7.28515625" style="99" bestFit="1" customWidth="1"/>
    <col min="5641" max="5641" width="8.85546875" style="99" bestFit="1" customWidth="1"/>
    <col min="5642" max="5889" width="9.140625" style="99"/>
    <col min="5890" max="5890" width="24" style="99" bestFit="1" customWidth="1"/>
    <col min="5891" max="5891" width="10.28515625" style="99" bestFit="1" customWidth="1"/>
    <col min="5892" max="5892" width="8.5703125" style="99" bestFit="1" customWidth="1"/>
    <col min="5893" max="5893" width="5.7109375" style="99" bestFit="1" customWidth="1"/>
    <col min="5894" max="5894" width="8.42578125" style="99" bestFit="1" customWidth="1"/>
    <col min="5895" max="5895" width="10.140625" style="99" bestFit="1" customWidth="1"/>
    <col min="5896" max="5896" width="7.28515625" style="99" bestFit="1" customWidth="1"/>
    <col min="5897" max="5897" width="8.85546875" style="99" bestFit="1" customWidth="1"/>
    <col min="5898" max="6145" width="9.140625" style="99"/>
    <col min="6146" max="6146" width="24" style="99" bestFit="1" customWidth="1"/>
    <col min="6147" max="6147" width="10.28515625" style="99" bestFit="1" customWidth="1"/>
    <col min="6148" max="6148" width="8.5703125" style="99" bestFit="1" customWidth="1"/>
    <col min="6149" max="6149" width="5.7109375" style="99" bestFit="1" customWidth="1"/>
    <col min="6150" max="6150" width="8.42578125" style="99" bestFit="1" customWidth="1"/>
    <col min="6151" max="6151" width="10.140625" style="99" bestFit="1" customWidth="1"/>
    <col min="6152" max="6152" width="7.28515625" style="99" bestFit="1" customWidth="1"/>
    <col min="6153" max="6153" width="8.85546875" style="99" bestFit="1" customWidth="1"/>
    <col min="6154" max="6401" width="9.140625" style="99"/>
    <col min="6402" max="6402" width="24" style="99" bestFit="1" customWidth="1"/>
    <col min="6403" max="6403" width="10.28515625" style="99" bestFit="1" customWidth="1"/>
    <col min="6404" max="6404" width="8.5703125" style="99" bestFit="1" customWidth="1"/>
    <col min="6405" max="6405" width="5.7109375" style="99" bestFit="1" customWidth="1"/>
    <col min="6406" max="6406" width="8.42578125" style="99" bestFit="1" customWidth="1"/>
    <col min="6407" max="6407" width="10.140625" style="99" bestFit="1" customWidth="1"/>
    <col min="6408" max="6408" width="7.28515625" style="99" bestFit="1" customWidth="1"/>
    <col min="6409" max="6409" width="8.85546875" style="99" bestFit="1" customWidth="1"/>
    <col min="6410" max="6657" width="9.140625" style="99"/>
    <col min="6658" max="6658" width="24" style="99" bestFit="1" customWidth="1"/>
    <col min="6659" max="6659" width="10.28515625" style="99" bestFit="1" customWidth="1"/>
    <col min="6660" max="6660" width="8.5703125" style="99" bestFit="1" customWidth="1"/>
    <col min="6661" max="6661" width="5.7109375" style="99" bestFit="1" customWidth="1"/>
    <col min="6662" max="6662" width="8.42578125" style="99" bestFit="1" customWidth="1"/>
    <col min="6663" max="6663" width="10.140625" style="99" bestFit="1" customWidth="1"/>
    <col min="6664" max="6664" width="7.28515625" style="99" bestFit="1" customWidth="1"/>
    <col min="6665" max="6665" width="8.85546875" style="99" bestFit="1" customWidth="1"/>
    <col min="6666" max="6913" width="9.140625" style="99"/>
    <col min="6914" max="6914" width="24" style="99" bestFit="1" customWidth="1"/>
    <col min="6915" max="6915" width="10.28515625" style="99" bestFit="1" customWidth="1"/>
    <col min="6916" max="6916" width="8.5703125" style="99" bestFit="1" customWidth="1"/>
    <col min="6917" max="6917" width="5.7109375" style="99" bestFit="1" customWidth="1"/>
    <col min="6918" max="6918" width="8.42578125" style="99" bestFit="1" customWidth="1"/>
    <col min="6919" max="6919" width="10.140625" style="99" bestFit="1" customWidth="1"/>
    <col min="6920" max="6920" width="7.28515625" style="99" bestFit="1" customWidth="1"/>
    <col min="6921" max="6921" width="8.85546875" style="99" bestFit="1" customWidth="1"/>
    <col min="6922" max="7169" width="9.140625" style="99"/>
    <col min="7170" max="7170" width="24" style="99" bestFit="1" customWidth="1"/>
    <col min="7171" max="7171" width="10.28515625" style="99" bestFit="1" customWidth="1"/>
    <col min="7172" max="7172" width="8.5703125" style="99" bestFit="1" customWidth="1"/>
    <col min="7173" max="7173" width="5.7109375" style="99" bestFit="1" customWidth="1"/>
    <col min="7174" max="7174" width="8.42578125" style="99" bestFit="1" customWidth="1"/>
    <col min="7175" max="7175" width="10.140625" style="99" bestFit="1" customWidth="1"/>
    <col min="7176" max="7176" width="7.28515625" style="99" bestFit="1" customWidth="1"/>
    <col min="7177" max="7177" width="8.85546875" style="99" bestFit="1" customWidth="1"/>
    <col min="7178" max="7425" width="9.140625" style="99"/>
    <col min="7426" max="7426" width="24" style="99" bestFit="1" customWidth="1"/>
    <col min="7427" max="7427" width="10.28515625" style="99" bestFit="1" customWidth="1"/>
    <col min="7428" max="7428" width="8.5703125" style="99" bestFit="1" customWidth="1"/>
    <col min="7429" max="7429" width="5.7109375" style="99" bestFit="1" customWidth="1"/>
    <col min="7430" max="7430" width="8.42578125" style="99" bestFit="1" customWidth="1"/>
    <col min="7431" max="7431" width="10.140625" style="99" bestFit="1" customWidth="1"/>
    <col min="7432" max="7432" width="7.28515625" style="99" bestFit="1" customWidth="1"/>
    <col min="7433" max="7433" width="8.85546875" style="99" bestFit="1" customWidth="1"/>
    <col min="7434" max="7681" width="9.140625" style="99"/>
    <col min="7682" max="7682" width="24" style="99" bestFit="1" customWidth="1"/>
    <col min="7683" max="7683" width="10.28515625" style="99" bestFit="1" customWidth="1"/>
    <col min="7684" max="7684" width="8.5703125" style="99" bestFit="1" customWidth="1"/>
    <col min="7685" max="7685" width="5.7109375" style="99" bestFit="1" customWidth="1"/>
    <col min="7686" max="7686" width="8.42578125" style="99" bestFit="1" customWidth="1"/>
    <col min="7687" max="7687" width="10.140625" style="99" bestFit="1" customWidth="1"/>
    <col min="7688" max="7688" width="7.28515625" style="99" bestFit="1" customWidth="1"/>
    <col min="7689" max="7689" width="8.85546875" style="99" bestFit="1" customWidth="1"/>
    <col min="7690" max="7937" width="9.140625" style="99"/>
    <col min="7938" max="7938" width="24" style="99" bestFit="1" customWidth="1"/>
    <col min="7939" max="7939" width="10.28515625" style="99" bestFit="1" customWidth="1"/>
    <col min="7940" max="7940" width="8.5703125" style="99" bestFit="1" customWidth="1"/>
    <col min="7941" max="7941" width="5.7109375" style="99" bestFit="1" customWidth="1"/>
    <col min="7942" max="7942" width="8.42578125" style="99" bestFit="1" customWidth="1"/>
    <col min="7943" max="7943" width="10.140625" style="99" bestFit="1" customWidth="1"/>
    <col min="7944" max="7944" width="7.28515625" style="99" bestFit="1" customWidth="1"/>
    <col min="7945" max="7945" width="8.85546875" style="99" bestFit="1" customWidth="1"/>
    <col min="7946" max="8193" width="9.140625" style="99"/>
    <col min="8194" max="8194" width="24" style="99" bestFit="1" customWidth="1"/>
    <col min="8195" max="8195" width="10.28515625" style="99" bestFit="1" customWidth="1"/>
    <col min="8196" max="8196" width="8.5703125" style="99" bestFit="1" customWidth="1"/>
    <col min="8197" max="8197" width="5.7109375" style="99" bestFit="1" customWidth="1"/>
    <col min="8198" max="8198" width="8.42578125" style="99" bestFit="1" customWidth="1"/>
    <col min="8199" max="8199" width="10.140625" style="99" bestFit="1" customWidth="1"/>
    <col min="8200" max="8200" width="7.28515625" style="99" bestFit="1" customWidth="1"/>
    <col min="8201" max="8201" width="8.85546875" style="99" bestFit="1" customWidth="1"/>
    <col min="8202" max="8449" width="9.140625" style="99"/>
    <col min="8450" max="8450" width="24" style="99" bestFit="1" customWidth="1"/>
    <col min="8451" max="8451" width="10.28515625" style="99" bestFit="1" customWidth="1"/>
    <col min="8452" max="8452" width="8.5703125" style="99" bestFit="1" customWidth="1"/>
    <col min="8453" max="8453" width="5.7109375" style="99" bestFit="1" customWidth="1"/>
    <col min="8454" max="8454" width="8.42578125" style="99" bestFit="1" customWidth="1"/>
    <col min="8455" max="8455" width="10.140625" style="99" bestFit="1" customWidth="1"/>
    <col min="8456" max="8456" width="7.28515625" style="99" bestFit="1" customWidth="1"/>
    <col min="8457" max="8457" width="8.85546875" style="99" bestFit="1" customWidth="1"/>
    <col min="8458" max="8705" width="9.140625" style="99"/>
    <col min="8706" max="8706" width="24" style="99" bestFit="1" customWidth="1"/>
    <col min="8707" max="8707" width="10.28515625" style="99" bestFit="1" customWidth="1"/>
    <col min="8708" max="8708" width="8.5703125" style="99" bestFit="1" customWidth="1"/>
    <col min="8709" max="8709" width="5.7109375" style="99" bestFit="1" customWidth="1"/>
    <col min="8710" max="8710" width="8.42578125" style="99" bestFit="1" customWidth="1"/>
    <col min="8711" max="8711" width="10.140625" style="99" bestFit="1" customWidth="1"/>
    <col min="8712" max="8712" width="7.28515625" style="99" bestFit="1" customWidth="1"/>
    <col min="8713" max="8713" width="8.85546875" style="99" bestFit="1" customWidth="1"/>
    <col min="8714" max="8961" width="9.140625" style="99"/>
    <col min="8962" max="8962" width="24" style="99" bestFit="1" customWidth="1"/>
    <col min="8963" max="8963" width="10.28515625" style="99" bestFit="1" customWidth="1"/>
    <col min="8964" max="8964" width="8.5703125" style="99" bestFit="1" customWidth="1"/>
    <col min="8965" max="8965" width="5.7109375" style="99" bestFit="1" customWidth="1"/>
    <col min="8966" max="8966" width="8.42578125" style="99" bestFit="1" customWidth="1"/>
    <col min="8967" max="8967" width="10.140625" style="99" bestFit="1" customWidth="1"/>
    <col min="8968" max="8968" width="7.28515625" style="99" bestFit="1" customWidth="1"/>
    <col min="8969" max="8969" width="8.85546875" style="99" bestFit="1" customWidth="1"/>
    <col min="8970" max="9217" width="9.140625" style="99"/>
    <col min="9218" max="9218" width="24" style="99" bestFit="1" customWidth="1"/>
    <col min="9219" max="9219" width="10.28515625" style="99" bestFit="1" customWidth="1"/>
    <col min="9220" max="9220" width="8.5703125" style="99" bestFit="1" customWidth="1"/>
    <col min="9221" max="9221" width="5.7109375" style="99" bestFit="1" customWidth="1"/>
    <col min="9222" max="9222" width="8.42578125" style="99" bestFit="1" customWidth="1"/>
    <col min="9223" max="9223" width="10.140625" style="99" bestFit="1" customWidth="1"/>
    <col min="9224" max="9224" width="7.28515625" style="99" bestFit="1" customWidth="1"/>
    <col min="9225" max="9225" width="8.85546875" style="99" bestFit="1" customWidth="1"/>
    <col min="9226" max="9473" width="9.140625" style="99"/>
    <col min="9474" max="9474" width="24" style="99" bestFit="1" customWidth="1"/>
    <col min="9475" max="9475" width="10.28515625" style="99" bestFit="1" customWidth="1"/>
    <col min="9476" max="9476" width="8.5703125" style="99" bestFit="1" customWidth="1"/>
    <col min="9477" max="9477" width="5.7109375" style="99" bestFit="1" customWidth="1"/>
    <col min="9478" max="9478" width="8.42578125" style="99" bestFit="1" customWidth="1"/>
    <col min="9479" max="9479" width="10.140625" style="99" bestFit="1" customWidth="1"/>
    <col min="9480" max="9480" width="7.28515625" style="99" bestFit="1" customWidth="1"/>
    <col min="9481" max="9481" width="8.85546875" style="99" bestFit="1" customWidth="1"/>
    <col min="9482" max="9729" width="9.140625" style="99"/>
    <col min="9730" max="9730" width="24" style="99" bestFit="1" customWidth="1"/>
    <col min="9731" max="9731" width="10.28515625" style="99" bestFit="1" customWidth="1"/>
    <col min="9732" max="9732" width="8.5703125" style="99" bestFit="1" customWidth="1"/>
    <col min="9733" max="9733" width="5.7109375" style="99" bestFit="1" customWidth="1"/>
    <col min="9734" max="9734" width="8.42578125" style="99" bestFit="1" customWidth="1"/>
    <col min="9735" max="9735" width="10.140625" style="99" bestFit="1" customWidth="1"/>
    <col min="9736" max="9736" width="7.28515625" style="99" bestFit="1" customWidth="1"/>
    <col min="9737" max="9737" width="8.85546875" style="99" bestFit="1" customWidth="1"/>
    <col min="9738" max="9985" width="9.140625" style="99"/>
    <col min="9986" max="9986" width="24" style="99" bestFit="1" customWidth="1"/>
    <col min="9987" max="9987" width="10.28515625" style="99" bestFit="1" customWidth="1"/>
    <col min="9988" max="9988" width="8.5703125" style="99" bestFit="1" customWidth="1"/>
    <col min="9989" max="9989" width="5.7109375" style="99" bestFit="1" customWidth="1"/>
    <col min="9990" max="9990" width="8.42578125" style="99" bestFit="1" customWidth="1"/>
    <col min="9991" max="9991" width="10.140625" style="99" bestFit="1" customWidth="1"/>
    <col min="9992" max="9992" width="7.28515625" style="99" bestFit="1" customWidth="1"/>
    <col min="9993" max="9993" width="8.85546875" style="99" bestFit="1" customWidth="1"/>
    <col min="9994" max="10241" width="9.140625" style="99"/>
    <col min="10242" max="10242" width="24" style="99" bestFit="1" customWidth="1"/>
    <col min="10243" max="10243" width="10.28515625" style="99" bestFit="1" customWidth="1"/>
    <col min="10244" max="10244" width="8.5703125" style="99" bestFit="1" customWidth="1"/>
    <col min="10245" max="10245" width="5.7109375" style="99" bestFit="1" customWidth="1"/>
    <col min="10246" max="10246" width="8.42578125" style="99" bestFit="1" customWidth="1"/>
    <col min="10247" max="10247" width="10.140625" style="99" bestFit="1" customWidth="1"/>
    <col min="10248" max="10248" width="7.28515625" style="99" bestFit="1" customWidth="1"/>
    <col min="10249" max="10249" width="8.85546875" style="99" bestFit="1" customWidth="1"/>
    <col min="10250" max="10497" width="9.140625" style="99"/>
    <col min="10498" max="10498" width="24" style="99" bestFit="1" customWidth="1"/>
    <col min="10499" max="10499" width="10.28515625" style="99" bestFit="1" customWidth="1"/>
    <col min="10500" max="10500" width="8.5703125" style="99" bestFit="1" customWidth="1"/>
    <col min="10501" max="10501" width="5.7109375" style="99" bestFit="1" customWidth="1"/>
    <col min="10502" max="10502" width="8.42578125" style="99" bestFit="1" customWidth="1"/>
    <col min="10503" max="10503" width="10.140625" style="99" bestFit="1" customWidth="1"/>
    <col min="10504" max="10504" width="7.28515625" style="99" bestFit="1" customWidth="1"/>
    <col min="10505" max="10505" width="8.85546875" style="99" bestFit="1" customWidth="1"/>
    <col min="10506" max="10753" width="9.140625" style="99"/>
    <col min="10754" max="10754" width="24" style="99" bestFit="1" customWidth="1"/>
    <col min="10755" max="10755" width="10.28515625" style="99" bestFit="1" customWidth="1"/>
    <col min="10756" max="10756" width="8.5703125" style="99" bestFit="1" customWidth="1"/>
    <col min="10757" max="10757" width="5.7109375" style="99" bestFit="1" customWidth="1"/>
    <col min="10758" max="10758" width="8.42578125" style="99" bestFit="1" customWidth="1"/>
    <col min="10759" max="10759" width="10.140625" style="99" bestFit="1" customWidth="1"/>
    <col min="10760" max="10760" width="7.28515625" style="99" bestFit="1" customWidth="1"/>
    <col min="10761" max="10761" width="8.85546875" style="99" bestFit="1" customWidth="1"/>
    <col min="10762" max="11009" width="9.140625" style="99"/>
    <col min="11010" max="11010" width="24" style="99" bestFit="1" customWidth="1"/>
    <col min="11011" max="11011" width="10.28515625" style="99" bestFit="1" customWidth="1"/>
    <col min="11012" max="11012" width="8.5703125" style="99" bestFit="1" customWidth="1"/>
    <col min="11013" max="11013" width="5.7109375" style="99" bestFit="1" customWidth="1"/>
    <col min="11014" max="11014" width="8.42578125" style="99" bestFit="1" customWidth="1"/>
    <col min="11015" max="11015" width="10.140625" style="99" bestFit="1" customWidth="1"/>
    <col min="11016" max="11016" width="7.28515625" style="99" bestFit="1" customWidth="1"/>
    <col min="11017" max="11017" width="8.85546875" style="99" bestFit="1" customWidth="1"/>
    <col min="11018" max="11265" width="9.140625" style="99"/>
    <col min="11266" max="11266" width="24" style="99" bestFit="1" customWidth="1"/>
    <col min="11267" max="11267" width="10.28515625" style="99" bestFit="1" customWidth="1"/>
    <col min="11268" max="11268" width="8.5703125" style="99" bestFit="1" customWidth="1"/>
    <col min="11269" max="11269" width="5.7109375" style="99" bestFit="1" customWidth="1"/>
    <col min="11270" max="11270" width="8.42578125" style="99" bestFit="1" customWidth="1"/>
    <col min="11271" max="11271" width="10.140625" style="99" bestFit="1" customWidth="1"/>
    <col min="11272" max="11272" width="7.28515625" style="99" bestFit="1" customWidth="1"/>
    <col min="11273" max="11273" width="8.85546875" style="99" bestFit="1" customWidth="1"/>
    <col min="11274" max="11521" width="9.140625" style="99"/>
    <col min="11522" max="11522" width="24" style="99" bestFit="1" customWidth="1"/>
    <col min="11523" max="11523" width="10.28515625" style="99" bestFit="1" customWidth="1"/>
    <col min="11524" max="11524" width="8.5703125" style="99" bestFit="1" customWidth="1"/>
    <col min="11525" max="11525" width="5.7109375" style="99" bestFit="1" customWidth="1"/>
    <col min="11526" max="11526" width="8.42578125" style="99" bestFit="1" customWidth="1"/>
    <col min="11527" max="11527" width="10.140625" style="99" bestFit="1" customWidth="1"/>
    <col min="11528" max="11528" width="7.28515625" style="99" bestFit="1" customWidth="1"/>
    <col min="11529" max="11529" width="8.85546875" style="99" bestFit="1" customWidth="1"/>
    <col min="11530" max="11777" width="9.140625" style="99"/>
    <col min="11778" max="11778" width="24" style="99" bestFit="1" customWidth="1"/>
    <col min="11779" max="11779" width="10.28515625" style="99" bestFit="1" customWidth="1"/>
    <col min="11780" max="11780" width="8.5703125" style="99" bestFit="1" customWidth="1"/>
    <col min="11781" max="11781" width="5.7109375" style="99" bestFit="1" customWidth="1"/>
    <col min="11782" max="11782" width="8.42578125" style="99" bestFit="1" customWidth="1"/>
    <col min="11783" max="11783" width="10.140625" style="99" bestFit="1" customWidth="1"/>
    <col min="11784" max="11784" width="7.28515625" style="99" bestFit="1" customWidth="1"/>
    <col min="11785" max="11785" width="8.85546875" style="99" bestFit="1" customWidth="1"/>
    <col min="11786" max="12033" width="9.140625" style="99"/>
    <col min="12034" max="12034" width="24" style="99" bestFit="1" customWidth="1"/>
    <col min="12035" max="12035" width="10.28515625" style="99" bestFit="1" customWidth="1"/>
    <col min="12036" max="12036" width="8.5703125" style="99" bestFit="1" customWidth="1"/>
    <col min="12037" max="12037" width="5.7109375" style="99" bestFit="1" customWidth="1"/>
    <col min="12038" max="12038" width="8.42578125" style="99" bestFit="1" customWidth="1"/>
    <col min="12039" max="12039" width="10.140625" style="99" bestFit="1" customWidth="1"/>
    <col min="12040" max="12040" width="7.28515625" style="99" bestFit="1" customWidth="1"/>
    <col min="12041" max="12041" width="8.85546875" style="99" bestFit="1" customWidth="1"/>
    <col min="12042" max="12289" width="9.140625" style="99"/>
    <col min="12290" max="12290" width="24" style="99" bestFit="1" customWidth="1"/>
    <col min="12291" max="12291" width="10.28515625" style="99" bestFit="1" customWidth="1"/>
    <col min="12292" max="12292" width="8.5703125" style="99" bestFit="1" customWidth="1"/>
    <col min="12293" max="12293" width="5.7109375" style="99" bestFit="1" customWidth="1"/>
    <col min="12294" max="12294" width="8.42578125" style="99" bestFit="1" customWidth="1"/>
    <col min="12295" max="12295" width="10.140625" style="99" bestFit="1" customWidth="1"/>
    <col min="12296" max="12296" width="7.28515625" style="99" bestFit="1" customWidth="1"/>
    <col min="12297" max="12297" width="8.85546875" style="99" bestFit="1" customWidth="1"/>
    <col min="12298" max="12545" width="9.140625" style="99"/>
    <col min="12546" max="12546" width="24" style="99" bestFit="1" customWidth="1"/>
    <col min="12547" max="12547" width="10.28515625" style="99" bestFit="1" customWidth="1"/>
    <col min="12548" max="12548" width="8.5703125" style="99" bestFit="1" customWidth="1"/>
    <col min="12549" max="12549" width="5.7109375" style="99" bestFit="1" customWidth="1"/>
    <col min="12550" max="12550" width="8.42578125" style="99" bestFit="1" customWidth="1"/>
    <col min="12551" max="12551" width="10.140625" style="99" bestFit="1" customWidth="1"/>
    <col min="12552" max="12552" width="7.28515625" style="99" bestFit="1" customWidth="1"/>
    <col min="12553" max="12553" width="8.85546875" style="99" bestFit="1" customWidth="1"/>
    <col min="12554" max="12801" width="9.140625" style="99"/>
    <col min="12802" max="12802" width="24" style="99" bestFit="1" customWidth="1"/>
    <col min="12803" max="12803" width="10.28515625" style="99" bestFit="1" customWidth="1"/>
    <col min="12804" max="12804" width="8.5703125" style="99" bestFit="1" customWidth="1"/>
    <col min="12805" max="12805" width="5.7109375" style="99" bestFit="1" customWidth="1"/>
    <col min="12806" max="12806" width="8.42578125" style="99" bestFit="1" customWidth="1"/>
    <col min="12807" max="12807" width="10.140625" style="99" bestFit="1" customWidth="1"/>
    <col min="12808" max="12808" width="7.28515625" style="99" bestFit="1" customWidth="1"/>
    <col min="12809" max="12809" width="8.85546875" style="99" bestFit="1" customWidth="1"/>
    <col min="12810" max="13057" width="9.140625" style="99"/>
    <col min="13058" max="13058" width="24" style="99" bestFit="1" customWidth="1"/>
    <col min="13059" max="13059" width="10.28515625" style="99" bestFit="1" customWidth="1"/>
    <col min="13060" max="13060" width="8.5703125" style="99" bestFit="1" customWidth="1"/>
    <col min="13061" max="13061" width="5.7109375" style="99" bestFit="1" customWidth="1"/>
    <col min="13062" max="13062" width="8.42578125" style="99" bestFit="1" customWidth="1"/>
    <col min="13063" max="13063" width="10.140625" style="99" bestFit="1" customWidth="1"/>
    <col min="13064" max="13064" width="7.28515625" style="99" bestFit="1" customWidth="1"/>
    <col min="13065" max="13065" width="8.85546875" style="99" bestFit="1" customWidth="1"/>
    <col min="13066" max="13313" width="9.140625" style="99"/>
    <col min="13314" max="13314" width="24" style="99" bestFit="1" customWidth="1"/>
    <col min="13315" max="13315" width="10.28515625" style="99" bestFit="1" customWidth="1"/>
    <col min="13316" max="13316" width="8.5703125" style="99" bestFit="1" customWidth="1"/>
    <col min="13317" max="13317" width="5.7109375" style="99" bestFit="1" customWidth="1"/>
    <col min="13318" max="13318" width="8.42578125" style="99" bestFit="1" customWidth="1"/>
    <col min="13319" max="13319" width="10.140625" style="99" bestFit="1" customWidth="1"/>
    <col min="13320" max="13320" width="7.28515625" style="99" bestFit="1" customWidth="1"/>
    <col min="13321" max="13321" width="8.85546875" style="99" bestFit="1" customWidth="1"/>
    <col min="13322" max="13569" width="9.140625" style="99"/>
    <col min="13570" max="13570" width="24" style="99" bestFit="1" customWidth="1"/>
    <col min="13571" max="13571" width="10.28515625" style="99" bestFit="1" customWidth="1"/>
    <col min="13572" max="13572" width="8.5703125" style="99" bestFit="1" customWidth="1"/>
    <col min="13573" max="13573" width="5.7109375" style="99" bestFit="1" customWidth="1"/>
    <col min="13574" max="13574" width="8.42578125" style="99" bestFit="1" customWidth="1"/>
    <col min="13575" max="13575" width="10.140625" style="99" bestFit="1" customWidth="1"/>
    <col min="13576" max="13576" width="7.28515625" style="99" bestFit="1" customWidth="1"/>
    <col min="13577" max="13577" width="8.85546875" style="99" bestFit="1" customWidth="1"/>
    <col min="13578" max="13825" width="9.140625" style="99"/>
    <col min="13826" max="13826" width="24" style="99" bestFit="1" customWidth="1"/>
    <col min="13827" max="13827" width="10.28515625" style="99" bestFit="1" customWidth="1"/>
    <col min="13828" max="13828" width="8.5703125" style="99" bestFit="1" customWidth="1"/>
    <col min="13829" max="13829" width="5.7109375" style="99" bestFit="1" customWidth="1"/>
    <col min="13830" max="13830" width="8.42578125" style="99" bestFit="1" customWidth="1"/>
    <col min="13831" max="13831" width="10.140625" style="99" bestFit="1" customWidth="1"/>
    <col min="13832" max="13832" width="7.28515625" style="99" bestFit="1" customWidth="1"/>
    <col min="13833" max="13833" width="8.85546875" style="99" bestFit="1" customWidth="1"/>
    <col min="13834" max="14081" width="9.140625" style="99"/>
    <col min="14082" max="14082" width="24" style="99" bestFit="1" customWidth="1"/>
    <col min="14083" max="14083" width="10.28515625" style="99" bestFit="1" customWidth="1"/>
    <col min="14084" max="14084" width="8.5703125" style="99" bestFit="1" customWidth="1"/>
    <col min="14085" max="14085" width="5.7109375" style="99" bestFit="1" customWidth="1"/>
    <col min="14086" max="14086" width="8.42578125" style="99" bestFit="1" customWidth="1"/>
    <col min="14087" max="14087" width="10.140625" style="99" bestFit="1" customWidth="1"/>
    <col min="14088" max="14088" width="7.28515625" style="99" bestFit="1" customWidth="1"/>
    <col min="14089" max="14089" width="8.85546875" style="99" bestFit="1" customWidth="1"/>
    <col min="14090" max="14337" width="9.140625" style="99"/>
    <col min="14338" max="14338" width="24" style="99" bestFit="1" customWidth="1"/>
    <col min="14339" max="14339" width="10.28515625" style="99" bestFit="1" customWidth="1"/>
    <col min="14340" max="14340" width="8.5703125" style="99" bestFit="1" customWidth="1"/>
    <col min="14341" max="14341" width="5.7109375" style="99" bestFit="1" customWidth="1"/>
    <col min="14342" max="14342" width="8.42578125" style="99" bestFit="1" customWidth="1"/>
    <col min="14343" max="14343" width="10.140625" style="99" bestFit="1" customWidth="1"/>
    <col min="14344" max="14344" width="7.28515625" style="99" bestFit="1" customWidth="1"/>
    <col min="14345" max="14345" width="8.85546875" style="99" bestFit="1" customWidth="1"/>
    <col min="14346" max="14593" width="9.140625" style="99"/>
    <col min="14594" max="14594" width="24" style="99" bestFit="1" customWidth="1"/>
    <col min="14595" max="14595" width="10.28515625" style="99" bestFit="1" customWidth="1"/>
    <col min="14596" max="14596" width="8.5703125" style="99" bestFit="1" customWidth="1"/>
    <col min="14597" max="14597" width="5.7109375" style="99" bestFit="1" customWidth="1"/>
    <col min="14598" max="14598" width="8.42578125" style="99" bestFit="1" customWidth="1"/>
    <col min="14599" max="14599" width="10.140625" style="99" bestFit="1" customWidth="1"/>
    <col min="14600" max="14600" width="7.28515625" style="99" bestFit="1" customWidth="1"/>
    <col min="14601" max="14601" width="8.85546875" style="99" bestFit="1" customWidth="1"/>
    <col min="14602" max="14849" width="9.140625" style="99"/>
    <col min="14850" max="14850" width="24" style="99" bestFit="1" customWidth="1"/>
    <col min="14851" max="14851" width="10.28515625" style="99" bestFit="1" customWidth="1"/>
    <col min="14852" max="14852" width="8.5703125" style="99" bestFit="1" customWidth="1"/>
    <col min="14853" max="14853" width="5.7109375" style="99" bestFit="1" customWidth="1"/>
    <col min="14854" max="14854" width="8.42578125" style="99" bestFit="1" customWidth="1"/>
    <col min="14855" max="14855" width="10.140625" style="99" bestFit="1" customWidth="1"/>
    <col min="14856" max="14856" width="7.28515625" style="99" bestFit="1" customWidth="1"/>
    <col min="14857" max="14857" width="8.85546875" style="99" bestFit="1" customWidth="1"/>
    <col min="14858" max="15105" width="9.140625" style="99"/>
    <col min="15106" max="15106" width="24" style="99" bestFit="1" customWidth="1"/>
    <col min="15107" max="15107" width="10.28515625" style="99" bestFit="1" customWidth="1"/>
    <col min="15108" max="15108" width="8.5703125" style="99" bestFit="1" customWidth="1"/>
    <col min="15109" max="15109" width="5.7109375" style="99" bestFit="1" customWidth="1"/>
    <col min="15110" max="15110" width="8.42578125" style="99" bestFit="1" customWidth="1"/>
    <col min="15111" max="15111" width="10.140625" style="99" bestFit="1" customWidth="1"/>
    <col min="15112" max="15112" width="7.28515625" style="99" bestFit="1" customWidth="1"/>
    <col min="15113" max="15113" width="8.85546875" style="99" bestFit="1" customWidth="1"/>
    <col min="15114" max="15361" width="9.140625" style="99"/>
    <col min="15362" max="15362" width="24" style="99" bestFit="1" customWidth="1"/>
    <col min="15363" max="15363" width="10.28515625" style="99" bestFit="1" customWidth="1"/>
    <col min="15364" max="15364" width="8.5703125" style="99" bestFit="1" customWidth="1"/>
    <col min="15365" max="15365" width="5.7109375" style="99" bestFit="1" customWidth="1"/>
    <col min="15366" max="15366" width="8.42578125" style="99" bestFit="1" customWidth="1"/>
    <col min="15367" max="15367" width="10.140625" style="99" bestFit="1" customWidth="1"/>
    <col min="15368" max="15368" width="7.28515625" style="99" bestFit="1" customWidth="1"/>
    <col min="15369" max="15369" width="8.85546875" style="99" bestFit="1" customWidth="1"/>
    <col min="15370" max="15617" width="9.140625" style="99"/>
    <col min="15618" max="15618" width="24" style="99" bestFit="1" customWidth="1"/>
    <col min="15619" max="15619" width="10.28515625" style="99" bestFit="1" customWidth="1"/>
    <col min="15620" max="15620" width="8.5703125" style="99" bestFit="1" customWidth="1"/>
    <col min="15621" max="15621" width="5.7109375" style="99" bestFit="1" customWidth="1"/>
    <col min="15622" max="15622" width="8.42578125" style="99" bestFit="1" customWidth="1"/>
    <col min="15623" max="15623" width="10.140625" style="99" bestFit="1" customWidth="1"/>
    <col min="15624" max="15624" width="7.28515625" style="99" bestFit="1" customWidth="1"/>
    <col min="15625" max="15625" width="8.85546875" style="99" bestFit="1" customWidth="1"/>
    <col min="15626" max="15873" width="9.140625" style="99"/>
    <col min="15874" max="15874" width="24" style="99" bestFit="1" customWidth="1"/>
    <col min="15875" max="15875" width="10.28515625" style="99" bestFit="1" customWidth="1"/>
    <col min="15876" max="15876" width="8.5703125" style="99" bestFit="1" customWidth="1"/>
    <col min="15877" max="15877" width="5.7109375" style="99" bestFit="1" customWidth="1"/>
    <col min="15878" max="15878" width="8.42578125" style="99" bestFit="1" customWidth="1"/>
    <col min="15879" max="15879" width="10.140625" style="99" bestFit="1" customWidth="1"/>
    <col min="15880" max="15880" width="7.28515625" style="99" bestFit="1" customWidth="1"/>
    <col min="15881" max="15881" width="8.85546875" style="99" bestFit="1" customWidth="1"/>
    <col min="15882" max="16129" width="9.140625" style="99"/>
    <col min="16130" max="16130" width="24" style="99" bestFit="1" customWidth="1"/>
    <col min="16131" max="16131" width="10.28515625" style="99" bestFit="1" customWidth="1"/>
    <col min="16132" max="16132" width="8.5703125" style="99" bestFit="1" customWidth="1"/>
    <col min="16133" max="16133" width="5.7109375" style="99" bestFit="1" customWidth="1"/>
    <col min="16134" max="16134" width="8.42578125" style="99" bestFit="1" customWidth="1"/>
    <col min="16135" max="16135" width="10.140625" style="99" bestFit="1" customWidth="1"/>
    <col min="16136" max="16136" width="7.28515625" style="99" bestFit="1" customWidth="1"/>
    <col min="16137" max="16137" width="8.85546875" style="99" bestFit="1" customWidth="1"/>
    <col min="16138" max="16384" width="9.140625" style="99"/>
  </cols>
  <sheetData>
    <row r="1" spans="1:9" ht="19.5" thickTop="1">
      <c r="A1" s="258" t="s">
        <v>113</v>
      </c>
      <c r="B1" s="259"/>
      <c r="C1" s="259"/>
      <c r="D1" s="259"/>
      <c r="E1" s="259"/>
      <c r="F1" s="259"/>
      <c r="G1" s="259"/>
      <c r="H1" s="259"/>
      <c r="I1" s="260"/>
    </row>
    <row r="2" spans="1:9" ht="63.75">
      <c r="A2" s="100" t="s">
        <v>114</v>
      </c>
      <c r="B2" s="101" t="s">
        <v>115</v>
      </c>
      <c r="C2" s="101" t="s">
        <v>156</v>
      </c>
      <c r="D2" s="101" t="s">
        <v>117</v>
      </c>
      <c r="E2" s="101" t="s">
        <v>118</v>
      </c>
      <c r="F2" s="101" t="s">
        <v>119</v>
      </c>
      <c r="G2" s="101" t="s">
        <v>116</v>
      </c>
      <c r="H2" s="101" t="s">
        <v>120</v>
      </c>
      <c r="I2" s="102" t="s">
        <v>121</v>
      </c>
    </row>
    <row r="3" spans="1:9">
      <c r="A3" s="103" t="s">
        <v>122</v>
      </c>
      <c r="B3" s="104" t="s">
        <v>123</v>
      </c>
      <c r="C3" s="105">
        <v>325</v>
      </c>
      <c r="D3" s="106">
        <v>18</v>
      </c>
      <c r="E3" s="105">
        <f t="shared" ref="E3:E17" si="0">C3*D3</f>
        <v>5850</v>
      </c>
      <c r="F3" s="107" t="str">
        <f t="shared" ref="F3:F17" si="1">IF(D3&gt;=$B$40,$B$41,"")</f>
        <v/>
      </c>
      <c r="G3" s="105">
        <f>C3*2</f>
        <v>650</v>
      </c>
      <c r="H3" s="108"/>
      <c r="I3" s="109">
        <f>G3*(1-H3)*(1+$B$37)</f>
        <v>760.5</v>
      </c>
    </row>
    <row r="4" spans="1:9">
      <c r="A4" s="103" t="s">
        <v>124</v>
      </c>
      <c r="B4" s="104" t="s">
        <v>125</v>
      </c>
      <c r="C4" s="105">
        <v>275</v>
      </c>
      <c r="D4" s="106">
        <v>38</v>
      </c>
      <c r="E4" s="105">
        <f t="shared" si="0"/>
        <v>10450</v>
      </c>
      <c r="F4" s="107" t="str">
        <f t="shared" si="1"/>
        <v/>
      </c>
      <c r="G4" s="105">
        <f t="shared" ref="G4:G17" si="2">C4*2</f>
        <v>550</v>
      </c>
      <c r="H4" s="108"/>
      <c r="I4" s="109">
        <f t="shared" ref="I4:I17" si="3">G4*(1-H4)*(1+$B$37)</f>
        <v>643.5</v>
      </c>
    </row>
    <row r="5" spans="1:9">
      <c r="A5" s="103" t="s">
        <v>126</v>
      </c>
      <c r="B5" s="104" t="s">
        <v>127</v>
      </c>
      <c r="C5" s="105">
        <v>225</v>
      </c>
      <c r="D5" s="106">
        <v>58</v>
      </c>
      <c r="E5" s="105">
        <f t="shared" si="0"/>
        <v>13050</v>
      </c>
      <c r="F5" s="107" t="str">
        <f t="shared" si="1"/>
        <v>מוצר מועדף</v>
      </c>
      <c r="G5" s="105">
        <f t="shared" si="2"/>
        <v>450</v>
      </c>
      <c r="H5" s="108"/>
      <c r="I5" s="109">
        <f t="shared" si="3"/>
        <v>526.5</v>
      </c>
    </row>
    <row r="6" spans="1:9">
      <c r="A6" s="103" t="s">
        <v>128</v>
      </c>
      <c r="B6" s="104" t="s">
        <v>129</v>
      </c>
      <c r="C6" s="105">
        <v>175</v>
      </c>
      <c r="D6" s="106">
        <v>78</v>
      </c>
      <c r="E6" s="105">
        <f t="shared" si="0"/>
        <v>13650</v>
      </c>
      <c r="F6" s="107" t="str">
        <f t="shared" si="1"/>
        <v>מוצר מועדף</v>
      </c>
      <c r="G6" s="105">
        <f t="shared" si="2"/>
        <v>350</v>
      </c>
      <c r="H6" s="108"/>
      <c r="I6" s="109">
        <f t="shared" si="3"/>
        <v>409.5</v>
      </c>
    </row>
    <row r="7" spans="1:9">
      <c r="A7" s="110" t="s">
        <v>130</v>
      </c>
      <c r="B7" s="111" t="s">
        <v>123</v>
      </c>
      <c r="C7" s="105">
        <v>150</v>
      </c>
      <c r="D7" s="113">
        <v>98</v>
      </c>
      <c r="E7" s="112">
        <f t="shared" si="0"/>
        <v>14700</v>
      </c>
      <c r="F7" s="114" t="str">
        <f t="shared" si="1"/>
        <v>מוצר מועדף</v>
      </c>
      <c r="G7" s="105">
        <f t="shared" si="2"/>
        <v>300</v>
      </c>
      <c r="H7" s="115"/>
      <c r="I7" s="116">
        <f t="shared" si="3"/>
        <v>351</v>
      </c>
    </row>
    <row r="8" spans="1:9">
      <c r="A8" s="103" t="s">
        <v>131</v>
      </c>
      <c r="B8" s="104" t="s">
        <v>123</v>
      </c>
      <c r="C8" s="105">
        <v>325</v>
      </c>
      <c r="D8" s="106">
        <v>18</v>
      </c>
      <c r="E8" s="105">
        <f t="shared" si="0"/>
        <v>5850</v>
      </c>
      <c r="F8" s="107" t="str">
        <f t="shared" si="1"/>
        <v/>
      </c>
      <c r="G8" s="105">
        <f t="shared" si="2"/>
        <v>650</v>
      </c>
      <c r="H8" s="108"/>
      <c r="I8" s="109">
        <f t="shared" si="3"/>
        <v>760.5</v>
      </c>
    </row>
    <row r="9" spans="1:9">
      <c r="A9" s="103" t="s">
        <v>132</v>
      </c>
      <c r="B9" s="104" t="s">
        <v>125</v>
      </c>
      <c r="C9" s="105">
        <v>275</v>
      </c>
      <c r="D9" s="106">
        <v>38</v>
      </c>
      <c r="E9" s="105">
        <f t="shared" si="0"/>
        <v>10450</v>
      </c>
      <c r="F9" s="107" t="str">
        <f t="shared" si="1"/>
        <v/>
      </c>
      <c r="G9" s="105">
        <f t="shared" si="2"/>
        <v>550</v>
      </c>
      <c r="H9" s="108"/>
      <c r="I9" s="109">
        <f t="shared" si="3"/>
        <v>643.5</v>
      </c>
    </row>
    <row r="10" spans="1:9">
      <c r="A10" s="103" t="s">
        <v>126</v>
      </c>
      <c r="B10" s="104" t="s">
        <v>127</v>
      </c>
      <c r="C10" s="105">
        <v>225</v>
      </c>
      <c r="D10" s="106">
        <v>58</v>
      </c>
      <c r="E10" s="105">
        <f t="shared" si="0"/>
        <v>13050</v>
      </c>
      <c r="F10" s="107" t="str">
        <f t="shared" si="1"/>
        <v>מוצר מועדף</v>
      </c>
      <c r="G10" s="105">
        <f t="shared" si="2"/>
        <v>450</v>
      </c>
      <c r="H10" s="108"/>
      <c r="I10" s="109">
        <f t="shared" si="3"/>
        <v>526.5</v>
      </c>
    </row>
    <row r="11" spans="1:9">
      <c r="A11" s="103" t="s">
        <v>133</v>
      </c>
      <c r="B11" s="104" t="s">
        <v>129</v>
      </c>
      <c r="C11" s="105">
        <v>175</v>
      </c>
      <c r="D11" s="106">
        <v>78</v>
      </c>
      <c r="E11" s="105">
        <f t="shared" si="0"/>
        <v>13650</v>
      </c>
      <c r="F11" s="107" t="str">
        <f t="shared" si="1"/>
        <v>מוצר מועדף</v>
      </c>
      <c r="G11" s="105">
        <f t="shared" si="2"/>
        <v>350</v>
      </c>
      <c r="H11" s="108"/>
      <c r="I11" s="109">
        <f t="shared" si="3"/>
        <v>409.5</v>
      </c>
    </row>
    <row r="12" spans="1:9">
      <c r="A12" s="110" t="s">
        <v>134</v>
      </c>
      <c r="B12" s="111" t="s">
        <v>123</v>
      </c>
      <c r="C12" s="105">
        <v>150</v>
      </c>
      <c r="D12" s="113">
        <v>98</v>
      </c>
      <c r="E12" s="112">
        <f t="shared" si="0"/>
        <v>14700</v>
      </c>
      <c r="F12" s="114" t="str">
        <f t="shared" si="1"/>
        <v>מוצר מועדף</v>
      </c>
      <c r="G12" s="105">
        <f t="shared" si="2"/>
        <v>300</v>
      </c>
      <c r="H12" s="115"/>
      <c r="I12" s="116">
        <f t="shared" si="3"/>
        <v>351</v>
      </c>
    </row>
    <row r="13" spans="1:9">
      <c r="A13" s="110" t="s">
        <v>135</v>
      </c>
      <c r="B13" s="111" t="s">
        <v>123</v>
      </c>
      <c r="C13" s="105">
        <v>325</v>
      </c>
      <c r="D13" s="113">
        <v>18</v>
      </c>
      <c r="E13" s="112">
        <f t="shared" si="0"/>
        <v>5850</v>
      </c>
      <c r="F13" s="114" t="str">
        <f t="shared" si="1"/>
        <v/>
      </c>
      <c r="G13" s="105">
        <f t="shared" si="2"/>
        <v>650</v>
      </c>
      <c r="H13" s="115"/>
      <c r="I13" s="116">
        <f t="shared" si="3"/>
        <v>760.5</v>
      </c>
    </row>
    <row r="14" spans="1:9">
      <c r="A14" s="110" t="s">
        <v>136</v>
      </c>
      <c r="B14" s="111" t="s">
        <v>125</v>
      </c>
      <c r="C14" s="105">
        <v>275</v>
      </c>
      <c r="D14" s="113">
        <v>38</v>
      </c>
      <c r="E14" s="112">
        <f t="shared" si="0"/>
        <v>10450</v>
      </c>
      <c r="F14" s="114" t="str">
        <f t="shared" si="1"/>
        <v/>
      </c>
      <c r="G14" s="105">
        <f t="shared" si="2"/>
        <v>550</v>
      </c>
      <c r="H14" s="115"/>
      <c r="I14" s="116">
        <f t="shared" si="3"/>
        <v>643.5</v>
      </c>
    </row>
    <row r="15" spans="1:9">
      <c r="A15" s="110" t="s">
        <v>137</v>
      </c>
      <c r="B15" s="111" t="s">
        <v>127</v>
      </c>
      <c r="C15" s="105">
        <v>225</v>
      </c>
      <c r="D15" s="113">
        <v>58</v>
      </c>
      <c r="E15" s="112">
        <f t="shared" si="0"/>
        <v>13050</v>
      </c>
      <c r="F15" s="114" t="str">
        <f t="shared" si="1"/>
        <v>מוצר מועדף</v>
      </c>
      <c r="G15" s="105">
        <f t="shared" si="2"/>
        <v>450</v>
      </c>
      <c r="H15" s="115"/>
      <c r="I15" s="116">
        <f t="shared" si="3"/>
        <v>526.5</v>
      </c>
    </row>
    <row r="16" spans="1:9">
      <c r="A16" s="110" t="s">
        <v>138</v>
      </c>
      <c r="B16" s="111" t="s">
        <v>129</v>
      </c>
      <c r="C16" s="105">
        <v>175</v>
      </c>
      <c r="D16" s="113">
        <v>78</v>
      </c>
      <c r="E16" s="112">
        <f t="shared" si="0"/>
        <v>13650</v>
      </c>
      <c r="F16" s="114" t="str">
        <f t="shared" si="1"/>
        <v>מוצר מועדף</v>
      </c>
      <c r="G16" s="105">
        <f t="shared" si="2"/>
        <v>350</v>
      </c>
      <c r="H16" s="115"/>
      <c r="I16" s="116">
        <f t="shared" si="3"/>
        <v>409.5</v>
      </c>
    </row>
    <row r="17" spans="1:9" ht="13.5" thickBot="1">
      <c r="A17" s="117" t="s">
        <v>139</v>
      </c>
      <c r="B17" s="118" t="s">
        <v>123</v>
      </c>
      <c r="C17" s="119">
        <v>150</v>
      </c>
      <c r="D17" s="120">
        <v>98</v>
      </c>
      <c r="E17" s="119">
        <f t="shared" si="0"/>
        <v>14700</v>
      </c>
      <c r="F17" s="121" t="str">
        <f t="shared" si="1"/>
        <v>מוצר מועדף</v>
      </c>
      <c r="G17" s="119">
        <f t="shared" si="2"/>
        <v>300</v>
      </c>
      <c r="H17" s="122"/>
      <c r="I17" s="123">
        <f t="shared" si="3"/>
        <v>351</v>
      </c>
    </row>
    <row r="18" spans="1:9" ht="14.25" thickTop="1" thickBot="1">
      <c r="A18" s="124"/>
      <c r="B18" s="124"/>
      <c r="C18" s="124"/>
      <c r="D18" s="124"/>
      <c r="E18" s="124"/>
      <c r="F18" s="124"/>
      <c r="G18" s="124"/>
      <c r="H18" s="124"/>
      <c r="I18" s="124"/>
    </row>
    <row r="19" spans="1:9" ht="13.5" thickTop="1">
      <c r="A19" s="125" t="s">
        <v>140</v>
      </c>
      <c r="B19" s="126"/>
      <c r="C19" s="127">
        <f>AVERAGE(C3:C17)</f>
        <v>230</v>
      </c>
      <c r="D19" s="128">
        <f>AVERAGE(D3:D17)</f>
        <v>58</v>
      </c>
      <c r="E19" s="127">
        <f>AVERAGE(E3:E17)</f>
        <v>11540</v>
      </c>
      <c r="F19" s="129"/>
      <c r="G19" s="127">
        <f>AVERAGE(G3:G17)</f>
        <v>460</v>
      </c>
      <c r="H19" s="130" t="e">
        <f>AVERAGE(H3:H17)</f>
        <v>#DIV/0!</v>
      </c>
      <c r="I19" s="131">
        <f>AVERAGE(I3:I17)</f>
        <v>538.20000000000005</v>
      </c>
    </row>
    <row r="20" spans="1:9">
      <c r="A20" s="132" t="s">
        <v>24</v>
      </c>
      <c r="B20" s="133"/>
      <c r="C20" s="134">
        <f>MIN(C3:C17)</f>
        <v>150</v>
      </c>
      <c r="D20" s="135">
        <f>MIN(D3:D17)</f>
        <v>18</v>
      </c>
      <c r="E20" s="134">
        <f>MIN(E3:E17)</f>
        <v>5850</v>
      </c>
      <c r="F20" s="136"/>
      <c r="G20" s="134">
        <f>MIN(G3:G17)</f>
        <v>300</v>
      </c>
      <c r="H20" s="137">
        <f>MIN(H3:H17)</f>
        <v>0</v>
      </c>
      <c r="I20" s="138">
        <f>MIN(I3:I17)</f>
        <v>351</v>
      </c>
    </row>
    <row r="21" spans="1:9">
      <c r="A21" s="132" t="s">
        <v>23</v>
      </c>
      <c r="B21" s="133"/>
      <c r="C21" s="134">
        <f>MAX(C3:C17)</f>
        <v>325</v>
      </c>
      <c r="D21" s="135">
        <f>MAX(D3:D17)</f>
        <v>98</v>
      </c>
      <c r="E21" s="134">
        <f>MAX(E3:E17)</f>
        <v>14700</v>
      </c>
      <c r="F21" s="136"/>
      <c r="G21" s="134">
        <f>MAX(G3:G17)</f>
        <v>650</v>
      </c>
      <c r="H21" s="137">
        <f>MAX(H3:H17)</f>
        <v>0</v>
      </c>
      <c r="I21" s="138">
        <f>MAX(I3:I17)</f>
        <v>760.5</v>
      </c>
    </row>
    <row r="22" spans="1:9" ht="13.5" thickBot="1">
      <c r="A22" s="139" t="s">
        <v>141</v>
      </c>
      <c r="B22" s="140"/>
      <c r="C22" s="118" t="s">
        <v>123</v>
      </c>
      <c r="D22" s="141">
        <f>SUMIF(B3:B17,C22,D3:D17)</f>
        <v>348</v>
      </c>
      <c r="E22" s="142"/>
      <c r="F22" s="142"/>
      <c r="G22" s="142"/>
      <c r="H22" s="143"/>
      <c r="I22" s="144"/>
    </row>
    <row r="23" spans="1:9" ht="14.25" thickTop="1" thickBot="1">
      <c r="C23" s="124"/>
      <c r="D23" s="124"/>
      <c r="E23" s="124"/>
      <c r="F23" s="124"/>
      <c r="G23" s="124"/>
      <c r="H23" s="124"/>
      <c r="I23" s="124"/>
    </row>
    <row r="24" spans="1:9" ht="13.5" thickTop="1">
      <c r="A24" s="145" t="s">
        <v>142</v>
      </c>
      <c r="B24" s="146" t="s">
        <v>143</v>
      </c>
      <c r="C24" s="147"/>
      <c r="D24" s="147"/>
      <c r="E24" s="147"/>
      <c r="F24" s="147"/>
      <c r="G24" s="147"/>
      <c r="H24" s="147"/>
      <c r="I24" s="147"/>
    </row>
    <row r="25" spans="1:9">
      <c r="A25" s="103" t="s">
        <v>144</v>
      </c>
      <c r="B25" s="148">
        <v>0.05</v>
      </c>
      <c r="C25" s="124"/>
      <c r="D25" s="124"/>
      <c r="E25" s="124"/>
      <c r="F25" s="124"/>
      <c r="G25" s="124"/>
      <c r="H25" s="124"/>
      <c r="I25" s="124"/>
    </row>
    <row r="26" spans="1:9">
      <c r="A26" s="149" t="s">
        <v>123</v>
      </c>
      <c r="B26" s="148">
        <v>0.1</v>
      </c>
      <c r="C26" s="124"/>
      <c r="D26" s="124"/>
      <c r="E26" s="124"/>
      <c r="F26" s="124"/>
      <c r="G26" s="124"/>
      <c r="H26" s="124"/>
      <c r="I26" s="124"/>
    </row>
    <row r="27" spans="1:9">
      <c r="A27" s="149" t="s">
        <v>125</v>
      </c>
      <c r="B27" s="148">
        <v>0.15</v>
      </c>
      <c r="C27" s="124"/>
      <c r="D27" s="124"/>
      <c r="E27" s="124"/>
      <c r="F27" s="124"/>
      <c r="G27" s="124"/>
      <c r="H27" s="124"/>
      <c r="I27" s="124"/>
    </row>
    <row r="28" spans="1:9">
      <c r="A28" s="149" t="s">
        <v>129</v>
      </c>
      <c r="B28" s="148">
        <v>0.2</v>
      </c>
      <c r="C28" s="124"/>
      <c r="D28" s="124"/>
      <c r="E28" s="124"/>
      <c r="F28" s="124"/>
      <c r="G28" s="124"/>
      <c r="H28" s="124"/>
      <c r="I28" s="124"/>
    </row>
    <row r="29" spans="1:9">
      <c r="A29" s="103" t="s">
        <v>145</v>
      </c>
      <c r="B29" s="148">
        <v>0.25</v>
      </c>
      <c r="C29" s="124"/>
      <c r="D29" s="124"/>
      <c r="E29" s="124"/>
      <c r="F29" s="124"/>
      <c r="G29" s="124"/>
      <c r="H29" s="124"/>
      <c r="I29" s="124"/>
    </row>
    <row r="30" spans="1:9">
      <c r="A30" s="103" t="s">
        <v>146</v>
      </c>
      <c r="B30" s="148">
        <v>0.3</v>
      </c>
      <c r="C30" s="124"/>
      <c r="D30" s="124"/>
      <c r="E30" s="124"/>
      <c r="F30" s="124"/>
      <c r="G30" s="124"/>
      <c r="H30" s="124"/>
      <c r="I30" s="124"/>
    </row>
    <row r="31" spans="1:9">
      <c r="A31" s="149" t="s">
        <v>147</v>
      </c>
      <c r="B31" s="148">
        <v>0.35</v>
      </c>
      <c r="C31" s="124"/>
      <c r="D31" s="124"/>
      <c r="E31" s="124"/>
      <c r="F31" s="124"/>
      <c r="G31" s="124"/>
      <c r="H31" s="124"/>
      <c r="I31" s="124"/>
    </row>
    <row r="32" spans="1:9">
      <c r="A32" s="149" t="s">
        <v>148</v>
      </c>
      <c r="B32" s="148">
        <v>0.4</v>
      </c>
      <c r="C32" s="124"/>
      <c r="D32" s="124"/>
      <c r="E32" s="124"/>
      <c r="F32" s="124"/>
      <c r="G32" s="124"/>
      <c r="H32" s="124"/>
      <c r="I32" s="124"/>
    </row>
    <row r="33" spans="1:9">
      <c r="A33" s="103" t="s">
        <v>127</v>
      </c>
      <c r="B33" s="148">
        <v>0.45</v>
      </c>
      <c r="C33" s="124"/>
      <c r="D33" s="124"/>
      <c r="E33" s="124"/>
      <c r="F33" s="124"/>
      <c r="G33" s="124"/>
      <c r="H33" s="124"/>
      <c r="I33" s="124"/>
    </row>
    <row r="34" spans="1:9" ht="13.5" thickBot="1">
      <c r="A34" s="117" t="s">
        <v>149</v>
      </c>
      <c r="B34" s="150">
        <v>0.5</v>
      </c>
      <c r="C34" s="124"/>
      <c r="D34" s="124"/>
      <c r="E34" s="124"/>
      <c r="F34" s="124"/>
      <c r="G34" s="124"/>
      <c r="H34" s="124"/>
      <c r="I34" s="124"/>
    </row>
    <row r="35" spans="1:9" ht="14.25" thickTop="1" thickBot="1">
      <c r="A35" s="124"/>
      <c r="B35" s="124"/>
      <c r="C35" s="124"/>
      <c r="D35" s="124"/>
      <c r="E35" s="124"/>
      <c r="F35" s="124"/>
      <c r="G35" s="124"/>
      <c r="H35" s="124"/>
      <c r="I35" s="124"/>
    </row>
    <row r="36" spans="1:9" ht="13.5" thickTop="1">
      <c r="A36" s="261" t="s">
        <v>150</v>
      </c>
      <c r="B36" s="262"/>
      <c r="C36" s="151"/>
      <c r="D36" s="151"/>
      <c r="E36" s="151"/>
      <c r="F36" s="151"/>
      <c r="G36" s="151"/>
      <c r="H36" s="151"/>
      <c r="I36" s="151"/>
    </row>
    <row r="37" spans="1:9">
      <c r="A37" s="152" t="s">
        <v>151</v>
      </c>
      <c r="B37" s="153">
        <v>0.17</v>
      </c>
    </row>
    <row r="38" spans="1:9">
      <c r="A38" s="152"/>
      <c r="B38" s="154"/>
    </row>
    <row r="39" spans="1:9">
      <c r="A39" s="263" t="s">
        <v>152</v>
      </c>
      <c r="B39" s="264"/>
    </row>
    <row r="40" spans="1:9">
      <c r="A40" s="152" t="s">
        <v>153</v>
      </c>
      <c r="B40" s="155">
        <v>40</v>
      </c>
    </row>
    <row r="41" spans="1:9" ht="13.5" thickBot="1">
      <c r="A41" s="156" t="s">
        <v>154</v>
      </c>
      <c r="B41" s="157" t="s">
        <v>155</v>
      </c>
    </row>
    <row r="42" spans="1:9" ht="13.5" thickTop="1"/>
  </sheetData>
  <mergeCells count="3">
    <mergeCell ref="A1:I1"/>
    <mergeCell ref="A36:B36"/>
    <mergeCell ref="A39:B39"/>
  </mergeCells>
  <conditionalFormatting sqref="F3:F17">
    <cfRule type="cellIs" dxfId="30" priority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8"/>
  <sheetViews>
    <sheetView rightToLeft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12.42578125" bestFit="1" customWidth="1"/>
    <col min="18" max="18" width="10.5703125" bestFit="1" customWidth="1"/>
    <col min="19" max="19" width="5" bestFit="1" customWidth="1"/>
    <col min="20" max="20" width="6" bestFit="1" customWidth="1"/>
  </cols>
  <sheetData>
    <row r="1" spans="1:23" ht="30.75">
      <c r="A1" s="288" t="s">
        <v>45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T1" s="59"/>
    </row>
    <row r="2" spans="1:23" ht="13.5" thickBot="1"/>
    <row r="3" spans="1:23" s="3" customFormat="1" ht="37.5" customHeight="1" thickTop="1" thickBot="1">
      <c r="A3" s="289" t="s">
        <v>46</v>
      </c>
      <c r="B3" s="28" t="s">
        <v>41</v>
      </c>
      <c r="C3" s="27" t="s">
        <v>1</v>
      </c>
      <c r="D3" s="27" t="s">
        <v>8</v>
      </c>
      <c r="E3" s="27" t="s">
        <v>51</v>
      </c>
      <c r="F3" s="27" t="s">
        <v>50</v>
      </c>
      <c r="G3" s="27" t="s">
        <v>54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39</v>
      </c>
      <c r="Q3" s="40" t="s">
        <v>40</v>
      </c>
      <c r="R3" s="60" t="s">
        <v>59</v>
      </c>
      <c r="S3"/>
      <c r="T3" s="292" t="s">
        <v>73</v>
      </c>
      <c r="U3" s="293"/>
      <c r="V3" s="293"/>
      <c r="W3" s="293"/>
    </row>
    <row r="4" spans="1:23">
      <c r="A4" s="290"/>
      <c r="B4" s="29">
        <v>830998987</v>
      </c>
      <c r="C4" s="8" t="s">
        <v>5</v>
      </c>
      <c r="D4" s="8" t="s">
        <v>18</v>
      </c>
      <c r="E4" s="10">
        <v>3527439</v>
      </c>
      <c r="F4" s="13">
        <v>56324</v>
      </c>
      <c r="G4" s="37" t="s">
        <v>55</v>
      </c>
      <c r="H4" s="8">
        <v>80</v>
      </c>
      <c r="I4" s="8"/>
      <c r="J4" s="8">
        <v>87</v>
      </c>
      <c r="K4" s="16">
        <f t="shared" ref="K4:K13" si="0">AVERAGE(H4:J4)</f>
        <v>83.5</v>
      </c>
      <c r="L4" s="8">
        <v>90</v>
      </c>
      <c r="M4" s="8"/>
      <c r="N4" s="19">
        <f t="shared" ref="N4:N13" si="1">ROUND(H4*$C$32+I4*$C$33+J4*$C$34+L4*$C$35+M4*$C$36,0)</f>
        <v>44</v>
      </c>
      <c r="O4" s="8" t="str">
        <f t="shared" ref="O4:O13" si="2">IF(N4&lt;$C$41,$B$40,IF(N4&lt;$C$42,$B$41,$B$42))</f>
        <v>נכשל</v>
      </c>
      <c r="P4" s="8" t="str">
        <f t="shared" ref="P4:P13" si="3">IF(AND(D4=$C$46,O4=$B$42),"מלגה","")</f>
        <v/>
      </c>
      <c r="Q4" s="41" t="str">
        <f t="shared" ref="Q4:Q13" si="4">IF(OR(D4=$C$46,O4=$B$42),"מלגה","")</f>
        <v>מלגה</v>
      </c>
      <c r="R4" s="9" t="str">
        <f t="shared" ref="R4:R13" si="5">IF(NOT(N4&lt;$C$41),"מלגה","")</f>
        <v/>
      </c>
    </row>
    <row r="5" spans="1:23">
      <c r="A5" s="290"/>
      <c r="B5" s="30">
        <v>298754355</v>
      </c>
      <c r="C5" s="4" t="s">
        <v>6</v>
      </c>
      <c r="D5" s="4" t="s">
        <v>17</v>
      </c>
      <c r="E5" s="11">
        <v>8763456</v>
      </c>
      <c r="F5" s="14">
        <v>83934</v>
      </c>
      <c r="G5" s="38" t="s">
        <v>0</v>
      </c>
      <c r="H5" s="4">
        <v>88</v>
      </c>
      <c r="I5" s="4">
        <v>90</v>
      </c>
      <c r="J5" s="4">
        <v>74</v>
      </c>
      <c r="K5" s="17">
        <f t="shared" si="0"/>
        <v>84</v>
      </c>
      <c r="L5" s="4">
        <v>55</v>
      </c>
      <c r="M5" s="4">
        <v>45</v>
      </c>
      <c r="N5" s="20">
        <f t="shared" si="1"/>
        <v>60</v>
      </c>
      <c r="O5" s="4" t="str">
        <f t="shared" si="2"/>
        <v>עובר</v>
      </c>
      <c r="P5" s="4" t="str">
        <f t="shared" si="3"/>
        <v/>
      </c>
      <c r="Q5" s="42" t="str">
        <f t="shared" si="4"/>
        <v/>
      </c>
      <c r="R5" s="5" t="str">
        <f t="shared" si="5"/>
        <v>מלגה</v>
      </c>
    </row>
    <row r="6" spans="1:23">
      <c r="A6" s="290"/>
      <c r="B6" s="30">
        <v>388923057</v>
      </c>
      <c r="C6" s="4" t="s">
        <v>5</v>
      </c>
      <c r="D6" s="4" t="s">
        <v>18</v>
      </c>
      <c r="E6" s="11">
        <v>8743644</v>
      </c>
      <c r="F6" s="14">
        <v>44141</v>
      </c>
      <c r="G6" s="38" t="s">
        <v>0</v>
      </c>
      <c r="H6" s="4">
        <v>60</v>
      </c>
      <c r="I6" s="4">
        <v>100</v>
      </c>
      <c r="J6" s="4">
        <v>80</v>
      </c>
      <c r="K6" s="17">
        <f t="shared" si="0"/>
        <v>80</v>
      </c>
      <c r="L6" s="4">
        <v>40</v>
      </c>
      <c r="M6" s="4">
        <v>61</v>
      </c>
      <c r="N6" s="20">
        <f t="shared" si="1"/>
        <v>60</v>
      </c>
      <c r="O6" s="4" t="str">
        <f t="shared" si="2"/>
        <v>עובר</v>
      </c>
      <c r="P6" s="4" t="str">
        <f t="shared" si="3"/>
        <v/>
      </c>
      <c r="Q6" s="42" t="str">
        <f t="shared" si="4"/>
        <v>מלגה</v>
      </c>
      <c r="R6" s="5" t="str">
        <f t="shared" si="5"/>
        <v>מלגה</v>
      </c>
    </row>
    <row r="7" spans="1:23">
      <c r="A7" s="290"/>
      <c r="B7" s="30">
        <v>947465892</v>
      </c>
      <c r="C7" s="4" t="s">
        <v>19</v>
      </c>
      <c r="D7" s="4" t="s">
        <v>17</v>
      </c>
      <c r="E7" s="11">
        <v>3434324</v>
      </c>
      <c r="F7" s="14">
        <v>41466</v>
      </c>
      <c r="G7" s="38" t="s">
        <v>0</v>
      </c>
      <c r="H7" s="4"/>
      <c r="I7" s="4">
        <v>79</v>
      </c>
      <c r="J7" s="4">
        <v>99</v>
      </c>
      <c r="K7" s="17">
        <f t="shared" si="0"/>
        <v>89</v>
      </c>
      <c r="L7" s="4">
        <v>86</v>
      </c>
      <c r="M7" s="4">
        <v>65</v>
      </c>
      <c r="N7" s="20">
        <f t="shared" si="1"/>
        <v>70</v>
      </c>
      <c r="O7" s="4" t="str">
        <f t="shared" si="2"/>
        <v>עובר</v>
      </c>
      <c r="P7" s="4" t="str">
        <f t="shared" si="3"/>
        <v/>
      </c>
      <c r="Q7" s="42" t="str">
        <f t="shared" si="4"/>
        <v/>
      </c>
      <c r="R7" s="5" t="str">
        <f t="shared" si="5"/>
        <v>מלגה</v>
      </c>
    </row>
    <row r="8" spans="1:23">
      <c r="A8" s="290"/>
      <c r="B8" s="30">
        <v>987654321</v>
      </c>
      <c r="C8" s="4" t="s">
        <v>42</v>
      </c>
      <c r="D8" s="4" t="s">
        <v>17</v>
      </c>
      <c r="E8" s="11">
        <v>7563094</v>
      </c>
      <c r="F8" s="14">
        <v>86534</v>
      </c>
      <c r="G8" s="38" t="s">
        <v>55</v>
      </c>
      <c r="H8" s="4">
        <v>91</v>
      </c>
      <c r="I8" s="4">
        <v>79</v>
      </c>
      <c r="J8" s="4">
        <v>85</v>
      </c>
      <c r="K8" s="17">
        <f t="shared" si="0"/>
        <v>85</v>
      </c>
      <c r="L8" s="4">
        <v>100</v>
      </c>
      <c r="M8" s="4">
        <v>50</v>
      </c>
      <c r="N8" s="20">
        <f t="shared" si="1"/>
        <v>76</v>
      </c>
      <c r="O8" s="4" t="str">
        <f t="shared" si="2"/>
        <v>עובר</v>
      </c>
      <c r="P8" s="4" t="str">
        <f t="shared" si="3"/>
        <v/>
      </c>
      <c r="Q8" s="42" t="str">
        <f t="shared" si="4"/>
        <v/>
      </c>
      <c r="R8" s="5" t="str">
        <f t="shared" si="5"/>
        <v>מלגה</v>
      </c>
    </row>
    <row r="9" spans="1:23">
      <c r="A9" s="290"/>
      <c r="B9" s="30">
        <v>983687692</v>
      </c>
      <c r="C9" s="4" t="s">
        <v>7</v>
      </c>
      <c r="D9" s="4" t="s">
        <v>18</v>
      </c>
      <c r="E9" s="11">
        <v>6347234</v>
      </c>
      <c r="F9" s="14">
        <v>55235</v>
      </c>
      <c r="G9" s="38" t="s">
        <v>0</v>
      </c>
      <c r="H9" s="4">
        <v>45</v>
      </c>
      <c r="I9" s="4">
        <v>60</v>
      </c>
      <c r="J9" s="4"/>
      <c r="K9" s="17">
        <f t="shared" si="0"/>
        <v>52.5</v>
      </c>
      <c r="L9" s="4">
        <v>99</v>
      </c>
      <c r="M9" s="4">
        <v>94</v>
      </c>
      <c r="N9" s="20">
        <f t="shared" si="1"/>
        <v>78</v>
      </c>
      <c r="O9" s="4" t="str">
        <f t="shared" si="2"/>
        <v>עובר</v>
      </c>
      <c r="P9" s="4" t="str">
        <f t="shared" si="3"/>
        <v/>
      </c>
      <c r="Q9" s="42" t="str">
        <f t="shared" si="4"/>
        <v>מלגה</v>
      </c>
      <c r="R9" s="5" t="str">
        <f t="shared" si="5"/>
        <v>מלגה</v>
      </c>
    </row>
    <row r="10" spans="1:23">
      <c r="A10" s="290"/>
      <c r="B10" s="30">
        <v>193878400</v>
      </c>
      <c r="C10" s="4" t="s">
        <v>3</v>
      </c>
      <c r="D10" s="4" t="s">
        <v>18</v>
      </c>
      <c r="E10" s="11">
        <v>9876544</v>
      </c>
      <c r="F10" s="14">
        <v>70000</v>
      </c>
      <c r="G10" s="38" t="s">
        <v>55</v>
      </c>
      <c r="H10" s="4">
        <v>81</v>
      </c>
      <c r="I10" s="4">
        <v>80</v>
      </c>
      <c r="J10" s="4">
        <v>82</v>
      </c>
      <c r="K10" s="17">
        <f t="shared" si="0"/>
        <v>81</v>
      </c>
      <c r="L10" s="4">
        <v>81</v>
      </c>
      <c r="M10" s="4">
        <v>81</v>
      </c>
      <c r="N10" s="20">
        <f t="shared" si="1"/>
        <v>81</v>
      </c>
      <c r="O10" s="4" t="str">
        <f t="shared" si="2"/>
        <v>עובר</v>
      </c>
      <c r="P10" s="4" t="str">
        <f t="shared" si="3"/>
        <v/>
      </c>
      <c r="Q10" s="42" t="str">
        <f t="shared" si="4"/>
        <v>מלגה</v>
      </c>
      <c r="R10" s="5" t="str">
        <f t="shared" si="5"/>
        <v>מלגה</v>
      </c>
    </row>
    <row r="11" spans="1:23">
      <c r="A11" s="290"/>
      <c r="B11" s="30">
        <v>658370843</v>
      </c>
      <c r="C11" s="4" t="s">
        <v>4</v>
      </c>
      <c r="D11" s="4" t="s">
        <v>18</v>
      </c>
      <c r="E11" s="11">
        <v>2118758</v>
      </c>
      <c r="F11" s="14">
        <v>55326</v>
      </c>
      <c r="G11" s="38" t="s">
        <v>55</v>
      </c>
      <c r="H11" s="4">
        <v>67</v>
      </c>
      <c r="I11" s="4">
        <v>99</v>
      </c>
      <c r="J11" s="4">
        <v>69</v>
      </c>
      <c r="K11" s="17">
        <f t="shared" si="0"/>
        <v>78.333333333333329</v>
      </c>
      <c r="L11" s="4">
        <v>90</v>
      </c>
      <c r="M11" s="4">
        <v>85</v>
      </c>
      <c r="N11" s="20">
        <f t="shared" si="1"/>
        <v>85</v>
      </c>
      <c r="O11" s="4" t="str">
        <f t="shared" si="2"/>
        <v>מצטיין</v>
      </c>
      <c r="P11" s="4" t="str">
        <f t="shared" si="3"/>
        <v>מלגה</v>
      </c>
      <c r="Q11" s="42" t="str">
        <f t="shared" si="4"/>
        <v>מלגה</v>
      </c>
      <c r="R11" s="5" t="str">
        <f t="shared" si="5"/>
        <v>מלגה</v>
      </c>
    </row>
    <row r="12" spans="1:23">
      <c r="A12" s="290"/>
      <c r="B12" s="30">
        <v>123456789</v>
      </c>
      <c r="C12" s="4" t="s">
        <v>2</v>
      </c>
      <c r="D12" s="4" t="s">
        <v>17</v>
      </c>
      <c r="E12" s="11">
        <v>9877665</v>
      </c>
      <c r="F12" s="14">
        <v>123</v>
      </c>
      <c r="G12" s="38" t="s">
        <v>55</v>
      </c>
      <c r="H12" s="4">
        <v>89</v>
      </c>
      <c r="I12" s="4">
        <v>86</v>
      </c>
      <c r="J12" s="4">
        <v>99</v>
      </c>
      <c r="K12" s="17">
        <f t="shared" si="0"/>
        <v>91.333333333333329</v>
      </c>
      <c r="L12" s="4">
        <v>99</v>
      </c>
      <c r="M12" s="4">
        <v>80</v>
      </c>
      <c r="N12" s="20">
        <f t="shared" si="1"/>
        <v>89</v>
      </c>
      <c r="O12" s="4" t="str">
        <f t="shared" si="2"/>
        <v>מצטיין</v>
      </c>
      <c r="P12" s="4" t="str">
        <f t="shared" si="3"/>
        <v/>
      </c>
      <c r="Q12" s="42" t="str">
        <f t="shared" si="4"/>
        <v>מלגה</v>
      </c>
      <c r="R12" s="5" t="str">
        <f t="shared" si="5"/>
        <v>מלגה</v>
      </c>
    </row>
    <row r="13" spans="1:23" ht="13.5" thickBot="1">
      <c r="A13" s="291"/>
      <c r="B13" s="31">
        <v>244576280</v>
      </c>
      <c r="C13" s="6" t="s">
        <v>19</v>
      </c>
      <c r="D13" s="6" t="s">
        <v>18</v>
      </c>
      <c r="E13" s="12">
        <v>3252524</v>
      </c>
      <c r="F13" s="15">
        <v>44451</v>
      </c>
      <c r="G13" s="39" t="s">
        <v>0</v>
      </c>
      <c r="H13" s="6">
        <v>94</v>
      </c>
      <c r="I13" s="6">
        <v>100</v>
      </c>
      <c r="J13" s="6">
        <v>93</v>
      </c>
      <c r="K13" s="18">
        <f t="shared" si="0"/>
        <v>95.666666666666671</v>
      </c>
      <c r="L13" s="6">
        <v>95</v>
      </c>
      <c r="M13" s="6">
        <v>100</v>
      </c>
      <c r="N13" s="21">
        <f t="shared" si="1"/>
        <v>97</v>
      </c>
      <c r="O13" s="6" t="str">
        <f t="shared" si="2"/>
        <v>מצטיין</v>
      </c>
      <c r="P13" s="6" t="str">
        <f t="shared" si="3"/>
        <v>מלגה</v>
      </c>
      <c r="Q13" s="43" t="str">
        <f t="shared" si="4"/>
        <v>מלגה</v>
      </c>
      <c r="R13" s="7" t="str">
        <f t="shared" si="5"/>
        <v>מלגה</v>
      </c>
    </row>
    <row r="14" spans="1:23" ht="14.25" thickTop="1" thickBot="1">
      <c r="L14"/>
      <c r="M14"/>
    </row>
    <row r="15" spans="1:23" ht="12.75" customHeight="1" thickTop="1" thickBot="1">
      <c r="A15" s="294" t="s">
        <v>47</v>
      </c>
      <c r="B15" s="22" t="s">
        <v>20</v>
      </c>
      <c r="C15" s="22"/>
      <c r="D15" s="22"/>
      <c r="E15" s="22"/>
      <c r="F15" s="22"/>
      <c r="G15" s="22"/>
      <c r="H15" s="32">
        <f>AVERAGE(H4:H13)</f>
        <v>77.222222222222229</v>
      </c>
      <c r="I15" s="32">
        <f t="shared" ref="I15:N15" si="6">AVERAGE(I4:I13)</f>
        <v>85.888888888888886</v>
      </c>
      <c r="J15" s="32">
        <f t="shared" si="6"/>
        <v>85.333333333333329</v>
      </c>
      <c r="K15" s="32">
        <f t="shared" si="6"/>
        <v>82.033333333333331</v>
      </c>
      <c r="L15" s="32">
        <f t="shared" si="6"/>
        <v>83.5</v>
      </c>
      <c r="M15" s="32">
        <f t="shared" si="6"/>
        <v>73.444444444444443</v>
      </c>
      <c r="N15" s="33">
        <f t="shared" si="6"/>
        <v>74</v>
      </c>
      <c r="P15" s="298" t="s">
        <v>64</v>
      </c>
      <c r="Q15" s="299"/>
      <c r="R15" s="300"/>
    </row>
    <row r="16" spans="1:23">
      <c r="A16" s="295"/>
      <c r="B16" s="4" t="s">
        <v>21</v>
      </c>
      <c r="C16" s="4"/>
      <c r="D16" s="4"/>
      <c r="E16" s="4"/>
      <c r="F16" s="4"/>
      <c r="G16" s="4"/>
      <c r="H16" s="17">
        <f>MEDIAN(H4:H13)</f>
        <v>81</v>
      </c>
      <c r="I16" s="17">
        <f t="shared" ref="I16:N16" si="7">MEDIAN(I4:I13)</f>
        <v>86</v>
      </c>
      <c r="J16" s="17">
        <f t="shared" si="7"/>
        <v>85</v>
      </c>
      <c r="K16" s="17">
        <f t="shared" si="7"/>
        <v>83.75</v>
      </c>
      <c r="L16" s="17">
        <f t="shared" si="7"/>
        <v>90</v>
      </c>
      <c r="M16" s="17">
        <f t="shared" si="7"/>
        <v>80</v>
      </c>
      <c r="N16" s="25">
        <f t="shared" si="7"/>
        <v>77</v>
      </c>
      <c r="P16" s="55" t="s">
        <v>65</v>
      </c>
      <c r="Q16" s="8"/>
      <c r="R16" s="9"/>
    </row>
    <row r="17" spans="1:18">
      <c r="A17" s="295"/>
      <c r="B17" s="4" t="s">
        <v>22</v>
      </c>
      <c r="C17" s="4"/>
      <c r="D17" s="4"/>
      <c r="E17" s="4"/>
      <c r="F17" s="4"/>
      <c r="G17" s="4"/>
      <c r="H17" s="17" t="e">
        <f>MODE(H4:H13)</f>
        <v>#N/A</v>
      </c>
      <c r="I17" s="17">
        <f t="shared" ref="I17:N17" si="8">MODE(I4:I13)</f>
        <v>100</v>
      </c>
      <c r="J17" s="17">
        <f t="shared" si="8"/>
        <v>99</v>
      </c>
      <c r="K17" s="17" t="e">
        <f t="shared" si="8"/>
        <v>#N/A</v>
      </c>
      <c r="L17" s="17">
        <f t="shared" si="8"/>
        <v>90</v>
      </c>
      <c r="M17" s="17" t="e">
        <f t="shared" si="8"/>
        <v>#N/A</v>
      </c>
      <c r="N17" s="25">
        <f t="shared" si="8"/>
        <v>60</v>
      </c>
      <c r="P17" s="61" t="s">
        <v>66</v>
      </c>
      <c r="Q17" s="4"/>
      <c r="R17" s="9"/>
    </row>
    <row r="18" spans="1:18">
      <c r="A18" s="295"/>
      <c r="B18" s="4" t="s">
        <v>23</v>
      </c>
      <c r="C18" s="4"/>
      <c r="D18" s="4"/>
      <c r="E18" s="4"/>
      <c r="F18" s="4"/>
      <c r="G18" s="4"/>
      <c r="H18" s="17">
        <f>MAX(H4:H13)</f>
        <v>94</v>
      </c>
      <c r="I18" s="17">
        <f t="shared" ref="I18:N18" si="9">MAX(I4:I13)</f>
        <v>100</v>
      </c>
      <c r="J18" s="17">
        <f t="shared" si="9"/>
        <v>99</v>
      </c>
      <c r="K18" s="17">
        <f t="shared" si="9"/>
        <v>95.666666666666671</v>
      </c>
      <c r="L18" s="17">
        <f t="shared" si="9"/>
        <v>100</v>
      </c>
      <c r="M18" s="17">
        <f t="shared" si="9"/>
        <v>100</v>
      </c>
      <c r="N18" s="25">
        <f t="shared" si="9"/>
        <v>97</v>
      </c>
      <c r="P18" s="61" t="s">
        <v>67</v>
      </c>
      <c r="Q18" s="4"/>
      <c r="R18" s="9"/>
    </row>
    <row r="19" spans="1:18">
      <c r="A19" s="295"/>
      <c r="B19" s="4" t="s">
        <v>24</v>
      </c>
      <c r="C19" s="4"/>
      <c r="D19" s="4"/>
      <c r="E19" s="4"/>
      <c r="F19" s="4"/>
      <c r="G19" s="4"/>
      <c r="H19" s="17">
        <f>MIN(H4:H13)</f>
        <v>45</v>
      </c>
      <c r="I19" s="17">
        <f t="shared" ref="I19:N19" si="10">MIN(I4:I13)</f>
        <v>60</v>
      </c>
      <c r="J19" s="17">
        <f t="shared" si="10"/>
        <v>69</v>
      </c>
      <c r="K19" s="17">
        <f t="shared" si="10"/>
        <v>52.5</v>
      </c>
      <c r="L19" s="17">
        <f t="shared" si="10"/>
        <v>40</v>
      </c>
      <c r="M19" s="17">
        <f t="shared" si="10"/>
        <v>45</v>
      </c>
      <c r="N19" s="25">
        <f t="shared" si="10"/>
        <v>44</v>
      </c>
      <c r="P19" s="61" t="s">
        <v>68</v>
      </c>
      <c r="Q19" s="4"/>
      <c r="R19" s="5"/>
    </row>
    <row r="20" spans="1:18">
      <c r="A20" s="295"/>
      <c r="B20" s="4" t="s">
        <v>43</v>
      </c>
      <c r="C20" s="4"/>
      <c r="D20" s="4"/>
      <c r="E20" s="4"/>
      <c r="F20" s="4"/>
      <c r="G20" s="4"/>
      <c r="H20" s="17">
        <f>_xlfn.STDEV.P(H4:H13)</f>
        <v>15.59043708159145</v>
      </c>
      <c r="I20" s="17">
        <f t="shared" ref="I20:N20" si="11">_xlfn.STDEV.P(I4:I13)</f>
        <v>12.4136523808305</v>
      </c>
      <c r="J20" s="17">
        <f t="shared" si="11"/>
        <v>9.8319208025017506</v>
      </c>
      <c r="K20" s="17">
        <f t="shared" si="11"/>
        <v>11.076200712438418</v>
      </c>
      <c r="L20" s="17">
        <f t="shared" si="11"/>
        <v>19.200260414900626</v>
      </c>
      <c r="M20" s="17">
        <f t="shared" si="11"/>
        <v>18.093038017186554</v>
      </c>
      <c r="N20" s="25">
        <f t="shared" si="11"/>
        <v>15.006665185843255</v>
      </c>
      <c r="P20" s="61" t="s">
        <v>69</v>
      </c>
      <c r="Q20" s="4"/>
      <c r="R20" s="5"/>
    </row>
    <row r="21" spans="1:18" ht="13.5" thickBot="1">
      <c r="A21" s="295"/>
      <c r="B21" s="4" t="s">
        <v>44</v>
      </c>
      <c r="C21" s="4"/>
      <c r="D21" s="4"/>
      <c r="E21" s="4"/>
      <c r="F21" s="4"/>
      <c r="G21" s="4"/>
      <c r="H21" s="17">
        <f>_xlfn.VAR.P(H4:H13)</f>
        <v>243.06172839506172</v>
      </c>
      <c r="I21" s="17">
        <f t="shared" ref="I21:N21" si="12">_xlfn.VAR.P(I4:I13)</f>
        <v>154.09876543209876</v>
      </c>
      <c r="J21" s="17">
        <f t="shared" si="12"/>
        <v>96.666666666666671</v>
      </c>
      <c r="K21" s="17">
        <f t="shared" si="12"/>
        <v>122.68222222222131</v>
      </c>
      <c r="L21" s="17">
        <f t="shared" si="12"/>
        <v>368.65</v>
      </c>
      <c r="M21" s="17">
        <f t="shared" si="12"/>
        <v>327.35802469135803</v>
      </c>
      <c r="N21" s="25">
        <f t="shared" si="12"/>
        <v>225.2</v>
      </c>
      <c r="P21" s="57" t="s">
        <v>70</v>
      </c>
      <c r="Q21" s="54"/>
      <c r="R21" s="7"/>
    </row>
    <row r="22" spans="1:18" ht="14.25" thickTop="1" thickBot="1">
      <c r="A22" s="295"/>
      <c r="B22" s="4" t="s">
        <v>37</v>
      </c>
      <c r="C22" s="4"/>
      <c r="D22" s="4"/>
      <c r="E22" s="4"/>
      <c r="F22" s="4"/>
      <c r="G22" s="4"/>
      <c r="H22" s="4">
        <f>COUNT(H4:H13)</f>
        <v>9</v>
      </c>
      <c r="I22" s="4">
        <f t="shared" ref="I22:N22" si="13">COUNT(I4:I13)</f>
        <v>9</v>
      </c>
      <c r="J22" s="4">
        <f t="shared" si="13"/>
        <v>9</v>
      </c>
      <c r="K22" s="4">
        <f t="shared" si="13"/>
        <v>10</v>
      </c>
      <c r="L22" s="4">
        <f t="shared" si="13"/>
        <v>10</v>
      </c>
      <c r="M22" s="4">
        <f t="shared" si="13"/>
        <v>9</v>
      </c>
      <c r="N22" s="5">
        <f t="shared" si="13"/>
        <v>10</v>
      </c>
    </row>
    <row r="23" spans="1:18" ht="26.25" customHeight="1" thickTop="1">
      <c r="A23" s="295"/>
      <c r="B23" s="4" t="s">
        <v>25</v>
      </c>
      <c r="C23" s="4"/>
      <c r="D23" s="4"/>
      <c r="E23" s="4"/>
      <c r="F23" s="4"/>
      <c r="G23" s="4"/>
      <c r="H23" s="4">
        <f>COUNTIF(H4:H13,"&lt;"&amp;$C$41)</f>
        <v>1</v>
      </c>
      <c r="I23" s="4">
        <f t="shared" ref="I23:N23" si="14">COUNTIF(I4:I13,"&lt;"&amp;$C$41)</f>
        <v>0</v>
      </c>
      <c r="J23" s="4">
        <f t="shared" si="14"/>
        <v>0</v>
      </c>
      <c r="K23" s="4">
        <f t="shared" si="14"/>
        <v>1</v>
      </c>
      <c r="L23" s="4">
        <f t="shared" si="14"/>
        <v>2</v>
      </c>
      <c r="M23" s="4">
        <f t="shared" si="14"/>
        <v>2</v>
      </c>
      <c r="N23" s="24">
        <f t="shared" si="14"/>
        <v>1</v>
      </c>
      <c r="P23" s="301" t="s">
        <v>170</v>
      </c>
      <c r="Q23" s="302"/>
      <c r="R23" s="303"/>
    </row>
    <row r="24" spans="1:18" ht="13.5" thickBot="1">
      <c r="A24" s="295"/>
      <c r="B24" s="4" t="s">
        <v>52</v>
      </c>
      <c r="C24" s="4"/>
      <c r="D24" s="4"/>
      <c r="E24" s="4"/>
      <c r="F24" s="4"/>
      <c r="G24" s="4"/>
      <c r="H24" s="4">
        <f>COUNTIFS(H4:H13,"&gt;="&amp;$C$41,H4:H13,"&lt;"&amp;$C$42)</f>
        <v>4</v>
      </c>
      <c r="I24" s="4">
        <f t="shared" ref="I24:N24" si="15">COUNTIFS(I4:I13,"&gt;="&amp;$C$41,I4:I13,"&lt;"&amp;$C$42)</f>
        <v>4</v>
      </c>
      <c r="J24" s="4">
        <f t="shared" si="15"/>
        <v>4</v>
      </c>
      <c r="K24" s="4">
        <f t="shared" si="15"/>
        <v>5</v>
      </c>
      <c r="L24" s="4">
        <f t="shared" si="15"/>
        <v>1</v>
      </c>
      <c r="M24" s="4">
        <f t="shared" si="15"/>
        <v>4</v>
      </c>
      <c r="N24" s="24">
        <f t="shared" si="15"/>
        <v>6</v>
      </c>
      <c r="P24" s="304"/>
      <c r="Q24" s="305"/>
      <c r="R24" s="306"/>
    </row>
    <row r="25" spans="1:18" ht="14.25" thickTop="1" thickBot="1">
      <c r="A25" s="295"/>
      <c r="B25" s="4" t="s">
        <v>53</v>
      </c>
      <c r="C25" s="4"/>
      <c r="D25" s="4"/>
      <c r="E25" s="4"/>
      <c r="F25" s="4"/>
      <c r="G25" s="4"/>
      <c r="H25" s="4">
        <f>COUNTIF(H4:H13,E42)</f>
        <v>4</v>
      </c>
      <c r="I25" s="4">
        <f t="shared" ref="I25:N25" si="16">COUNTIF(I4:I13,"&gt;="&amp;$C$42)</f>
        <v>5</v>
      </c>
      <c r="J25" s="4">
        <f t="shared" si="16"/>
        <v>5</v>
      </c>
      <c r="K25" s="4">
        <f t="shared" si="16"/>
        <v>4</v>
      </c>
      <c r="L25" s="4">
        <f t="shared" si="16"/>
        <v>7</v>
      </c>
      <c r="M25" s="4">
        <f t="shared" si="16"/>
        <v>3</v>
      </c>
      <c r="N25" s="24">
        <f t="shared" si="16"/>
        <v>3</v>
      </c>
    </row>
    <row r="26" spans="1:18" ht="13.5" thickTop="1">
      <c r="A26" s="295"/>
      <c r="B26" s="38" t="s">
        <v>60</v>
      </c>
      <c r="C26" s="4" t="str">
        <f>B45</f>
        <v>סטודנטים</v>
      </c>
      <c r="D26" s="4"/>
      <c r="E26" s="4"/>
      <c r="F26" s="4"/>
      <c r="G26" s="4"/>
      <c r="H26" s="4">
        <f>COUNTIFS($D$4:$D$13,$C$45,H4:H13,"&gt;="&amp;$C$42)</f>
        <v>3</v>
      </c>
      <c r="I26" s="4">
        <f t="shared" ref="I26:N26" si="17">COUNTIFS($D$4:$D$13,$C$45,I4:I13,"&gt;="&amp;$C$42)</f>
        <v>2</v>
      </c>
      <c r="J26" s="4">
        <f t="shared" si="17"/>
        <v>3</v>
      </c>
      <c r="K26" s="4">
        <f t="shared" si="17"/>
        <v>3</v>
      </c>
      <c r="L26" s="4">
        <f t="shared" si="17"/>
        <v>3</v>
      </c>
      <c r="M26" s="4">
        <f t="shared" si="17"/>
        <v>0</v>
      </c>
      <c r="N26" s="5">
        <f t="shared" si="17"/>
        <v>1</v>
      </c>
      <c r="P26" s="307" t="s">
        <v>171</v>
      </c>
      <c r="Q26" s="308"/>
      <c r="R26" s="278"/>
    </row>
    <row r="27" spans="1:18" ht="13.5" thickBot="1">
      <c r="A27" s="296"/>
      <c r="B27" s="44"/>
      <c r="C27" s="4" t="str">
        <f>B46</f>
        <v>סטודנטיות</v>
      </c>
      <c r="D27" s="44"/>
      <c r="E27" s="44"/>
      <c r="F27" s="44"/>
      <c r="G27" s="44"/>
      <c r="H27" s="44">
        <f>COUNTIFS($D$4:$D$13,$C$46,H4:H13,$E$42)</f>
        <v>1</v>
      </c>
      <c r="I27" s="44">
        <f t="shared" ref="I27:N27" si="18">COUNTIFS($D$4:$D$13,$C$46,I4:I13,$E$42)</f>
        <v>3</v>
      </c>
      <c r="J27" s="44">
        <f t="shared" si="18"/>
        <v>2</v>
      </c>
      <c r="K27" s="44">
        <f t="shared" si="18"/>
        <v>1</v>
      </c>
      <c r="L27" s="44">
        <f t="shared" si="18"/>
        <v>4</v>
      </c>
      <c r="M27" s="44">
        <f t="shared" si="18"/>
        <v>3</v>
      </c>
      <c r="N27" s="45">
        <f t="shared" si="18"/>
        <v>2</v>
      </c>
      <c r="P27" s="304"/>
      <c r="Q27" s="305"/>
      <c r="R27" s="306"/>
    </row>
    <row r="28" spans="1:18" ht="14.25" thickTop="1" thickBot="1">
      <c r="A28" s="296"/>
      <c r="B28" s="44" t="s">
        <v>38</v>
      </c>
      <c r="C28" s="44"/>
      <c r="D28" s="44">
        <f>COUNTA(C4:C13)</f>
        <v>10</v>
      </c>
      <c r="E28" s="44"/>
      <c r="F28" s="44"/>
      <c r="G28" s="48" t="s">
        <v>63</v>
      </c>
      <c r="H28" s="49">
        <f>AVERAGEIFS(H4:H13,H4:H13,"&gt;="&amp;$C$41,H4:H13,"&lt;"&amp;$C$42)</f>
        <v>72</v>
      </c>
      <c r="I28" s="49">
        <f t="shared" ref="I28:N28" si="19">AVERAGEIFS(I4:I13,I4:I13,"&gt;="&amp;$C$41,I4:I13,"&lt;"&amp;$C$42)</f>
        <v>74.5</v>
      </c>
      <c r="J28" s="49">
        <f t="shared" si="19"/>
        <v>76.25</v>
      </c>
      <c r="K28" s="49">
        <f t="shared" si="19"/>
        <v>81.36666666666666</v>
      </c>
      <c r="L28" s="49">
        <f t="shared" si="19"/>
        <v>81</v>
      </c>
      <c r="M28" s="49">
        <f t="shared" si="19"/>
        <v>71.75</v>
      </c>
      <c r="N28" s="50">
        <f t="shared" si="19"/>
        <v>70.833333333333329</v>
      </c>
    </row>
    <row r="29" spans="1:18" ht="13.5" thickTop="1">
      <c r="A29" s="296"/>
      <c r="B29" s="38" t="s">
        <v>60</v>
      </c>
      <c r="C29" s="44" t="str">
        <f>B45</f>
        <v>סטודנטים</v>
      </c>
      <c r="D29" s="44">
        <f>COUNTIF(D4:D13,C45)</f>
        <v>4</v>
      </c>
      <c r="E29" s="44"/>
      <c r="F29" s="44"/>
      <c r="G29" s="47" t="s">
        <v>62</v>
      </c>
      <c r="H29" s="49">
        <f>AVERAGEIF($D$4:$D$13,$C45,H$4:H$13)</f>
        <v>89.333333333333329</v>
      </c>
      <c r="I29" s="49">
        <f t="shared" ref="I29:N29" si="20">AVERAGEIF($D$4:$D$13,$C45,I$4:I$13)</f>
        <v>83.5</v>
      </c>
      <c r="J29" s="49">
        <f t="shared" si="20"/>
        <v>89.25</v>
      </c>
      <c r="K29" s="49">
        <f t="shared" si="20"/>
        <v>87.333333333333329</v>
      </c>
      <c r="L29" s="49">
        <f t="shared" si="20"/>
        <v>85</v>
      </c>
      <c r="M29" s="49">
        <f t="shared" si="20"/>
        <v>60</v>
      </c>
      <c r="N29" s="50">
        <f t="shared" si="20"/>
        <v>73.75</v>
      </c>
      <c r="P29" s="283" t="s">
        <v>83</v>
      </c>
      <c r="Q29" s="284"/>
      <c r="R29" s="285"/>
    </row>
    <row r="30" spans="1:18" ht="13.5" thickBot="1">
      <c r="A30" s="297"/>
      <c r="B30" s="6"/>
      <c r="C30" s="6" t="str">
        <f>B46</f>
        <v>סטודנטיות</v>
      </c>
      <c r="D30" s="6">
        <f>COUNTIF(D4:D13,C46)</f>
        <v>6</v>
      </c>
      <c r="E30" s="6"/>
      <c r="F30" s="6"/>
      <c r="G30" s="6" t="s">
        <v>62</v>
      </c>
      <c r="H30" s="51">
        <f t="shared" ref="H30:N30" si="21">AVERAGEIF($D$4:$D$13,$C46,H$4:H$13)</f>
        <v>71.166666666666671</v>
      </c>
      <c r="I30" s="53">
        <f t="shared" si="21"/>
        <v>87.8</v>
      </c>
      <c r="J30" s="51">
        <f t="shared" si="21"/>
        <v>82.2</v>
      </c>
      <c r="K30" s="51">
        <f t="shared" si="21"/>
        <v>78.5</v>
      </c>
      <c r="L30" s="51">
        <f t="shared" si="21"/>
        <v>82.5</v>
      </c>
      <c r="M30" s="51">
        <f t="shared" si="21"/>
        <v>84.2</v>
      </c>
      <c r="N30" s="52">
        <f t="shared" si="21"/>
        <v>74.166666666666671</v>
      </c>
      <c r="P30" s="279" t="s">
        <v>172</v>
      </c>
      <c r="Q30" s="280"/>
      <c r="R30" s="62"/>
    </row>
    <row r="31" spans="1:18" ht="14.25" thickTop="1" thickBot="1">
      <c r="L31"/>
      <c r="M31"/>
      <c r="P31" s="279" t="s">
        <v>80</v>
      </c>
      <c r="Q31" s="280"/>
      <c r="R31" s="5"/>
    </row>
    <row r="32" spans="1:18" ht="14.25" thickTop="1" thickBot="1">
      <c r="A32" s="274" t="s">
        <v>48</v>
      </c>
      <c r="B32" s="22" t="s">
        <v>26</v>
      </c>
      <c r="C32" s="34">
        <v>0.1</v>
      </c>
      <c r="L32"/>
      <c r="M32"/>
      <c r="P32" s="281" t="s">
        <v>81</v>
      </c>
      <c r="Q32" s="282"/>
      <c r="R32" s="7"/>
    </row>
    <row r="33" spans="1:18" ht="13.5" thickTop="1">
      <c r="A33" s="275"/>
      <c r="B33" s="4" t="s">
        <v>27</v>
      </c>
      <c r="C33" s="35">
        <v>0.1</v>
      </c>
      <c r="L33"/>
      <c r="M33"/>
    </row>
    <row r="34" spans="1:18" ht="13.5" thickBot="1">
      <c r="A34" s="275"/>
      <c r="B34" s="4" t="s">
        <v>28</v>
      </c>
      <c r="C34" s="35">
        <v>0.1</v>
      </c>
      <c r="L34"/>
      <c r="M34"/>
    </row>
    <row r="35" spans="1:18" ht="13.5" thickTop="1">
      <c r="A35" s="275"/>
      <c r="B35" s="4" t="s">
        <v>29</v>
      </c>
      <c r="C35" s="35">
        <v>0.3</v>
      </c>
      <c r="L35"/>
      <c r="M35"/>
      <c r="O35" s="283" t="s">
        <v>82</v>
      </c>
      <c r="P35" s="284"/>
      <c r="Q35" s="284"/>
      <c r="R35" s="285"/>
    </row>
    <row r="36" spans="1:18">
      <c r="A36" s="275"/>
      <c r="B36" s="4" t="s">
        <v>30</v>
      </c>
      <c r="C36" s="35">
        <v>0.4</v>
      </c>
      <c r="L36"/>
      <c r="M36"/>
      <c r="O36" s="286" t="s">
        <v>79</v>
      </c>
      <c r="P36" s="287"/>
      <c r="Q36" s="67"/>
      <c r="R36" s="68"/>
    </row>
    <row r="37" spans="1:18" ht="13.5" thickBot="1">
      <c r="A37" s="276"/>
      <c r="B37" s="6" t="s">
        <v>31</v>
      </c>
      <c r="C37" s="36">
        <f>SUM(C32:C36)</f>
        <v>1</v>
      </c>
      <c r="L37"/>
      <c r="M37"/>
      <c r="O37" s="63" t="s">
        <v>80</v>
      </c>
      <c r="P37" s="64"/>
      <c r="Q37" s="4"/>
      <c r="R37" s="25"/>
    </row>
    <row r="38" spans="1:18" ht="12.75" customHeight="1" thickTop="1" thickBot="1">
      <c r="L38"/>
      <c r="M38"/>
      <c r="O38" s="63" t="s">
        <v>80</v>
      </c>
      <c r="P38" s="64"/>
      <c r="Q38" s="4"/>
      <c r="R38" s="5"/>
    </row>
    <row r="39" spans="1:18" ht="13.5" thickTop="1">
      <c r="A39" s="274" t="s">
        <v>49</v>
      </c>
      <c r="B39" s="22"/>
      <c r="C39" s="22" t="s">
        <v>32</v>
      </c>
      <c r="D39" s="23" t="s">
        <v>33</v>
      </c>
      <c r="L39"/>
      <c r="O39" s="63" t="s">
        <v>80</v>
      </c>
      <c r="P39" s="64"/>
      <c r="Q39" s="4"/>
      <c r="R39" s="5"/>
    </row>
    <row r="40" spans="1:18" ht="13.5" thickBot="1">
      <c r="A40" s="275"/>
      <c r="B40" s="4" t="s">
        <v>34</v>
      </c>
      <c r="C40" s="17">
        <v>0</v>
      </c>
      <c r="D40" s="25">
        <v>59.49</v>
      </c>
      <c r="E40" s="2"/>
      <c r="F40" s="2"/>
      <c r="G40" s="2"/>
      <c r="L40"/>
      <c r="O40" s="65" t="s">
        <v>80</v>
      </c>
      <c r="P40" s="66"/>
      <c r="Q40" s="6"/>
      <c r="R40" s="7"/>
    </row>
    <row r="41" spans="1:18" ht="13.5" thickTop="1">
      <c r="A41" s="275"/>
      <c r="B41" s="4" t="s">
        <v>35</v>
      </c>
      <c r="C41" s="17">
        <v>59.5</v>
      </c>
      <c r="D41" s="25">
        <v>84.49</v>
      </c>
      <c r="E41" s="2"/>
      <c r="F41" s="2"/>
      <c r="G41" s="2"/>
      <c r="L41"/>
    </row>
    <row r="42" spans="1:18" ht="13.5" thickBot="1">
      <c r="A42" s="276"/>
      <c r="B42" s="6" t="s">
        <v>36</v>
      </c>
      <c r="C42" s="18">
        <f>84.5</f>
        <v>84.5</v>
      </c>
      <c r="D42" s="26">
        <v>100</v>
      </c>
      <c r="E42" s="46" t="s">
        <v>61</v>
      </c>
      <c r="F42" s="2"/>
      <c r="G42" s="2"/>
      <c r="L42"/>
    </row>
    <row r="43" spans="1:18" ht="14.25" thickTop="1" thickBot="1"/>
    <row r="44" spans="1:18" ht="13.5" thickTop="1">
      <c r="A44" s="274" t="s">
        <v>58</v>
      </c>
      <c r="B44" s="277" t="s">
        <v>8</v>
      </c>
      <c r="C44" s="278"/>
    </row>
    <row r="45" spans="1:18">
      <c r="A45" s="275"/>
      <c r="B45" s="4" t="s">
        <v>56</v>
      </c>
      <c r="C45" s="25" t="s">
        <v>17</v>
      </c>
    </row>
    <row r="46" spans="1:18" ht="13.5" thickBot="1">
      <c r="A46" s="276"/>
      <c r="B46" s="6" t="s">
        <v>57</v>
      </c>
      <c r="C46" s="26" t="s">
        <v>18</v>
      </c>
    </row>
    <row r="47" spans="1:18" ht="13.5" thickTop="1"/>
    <row r="49" spans="2:22" ht="13.5" thickBot="1"/>
    <row r="50" spans="2:22" ht="27" thickTop="1" thickBot="1">
      <c r="B50" s="28" t="s">
        <v>41</v>
      </c>
      <c r="C50" s="27" t="s">
        <v>1</v>
      </c>
      <c r="D50" s="27" t="s">
        <v>8</v>
      </c>
      <c r="E50" s="27" t="s">
        <v>51</v>
      </c>
      <c r="F50" s="27" t="s">
        <v>50</v>
      </c>
      <c r="G50" s="27" t="s">
        <v>54</v>
      </c>
      <c r="H50" s="27" t="s">
        <v>9</v>
      </c>
      <c r="I50" s="27" t="s">
        <v>10</v>
      </c>
      <c r="J50" s="27" t="s">
        <v>11</v>
      </c>
      <c r="K50" s="27" t="s">
        <v>12</v>
      </c>
      <c r="L50" s="27" t="s">
        <v>13</v>
      </c>
      <c r="M50" s="27" t="s">
        <v>14</v>
      </c>
      <c r="N50" s="27" t="s">
        <v>15</v>
      </c>
      <c r="O50" s="27" t="s">
        <v>16</v>
      </c>
      <c r="P50" s="27" t="s">
        <v>39</v>
      </c>
      <c r="Q50" s="40" t="s">
        <v>40</v>
      </c>
      <c r="R50" s="60" t="s">
        <v>59</v>
      </c>
      <c r="T50" s="58" t="s">
        <v>8</v>
      </c>
      <c r="V50" s="58"/>
    </row>
    <row r="51" spans="2:22">
      <c r="B51" s="30">
        <v>193878400</v>
      </c>
      <c r="C51" s="4" t="s">
        <v>3</v>
      </c>
      <c r="D51" s="4" t="s">
        <v>18</v>
      </c>
      <c r="E51" s="11">
        <v>9876544</v>
      </c>
      <c r="F51" s="14">
        <v>70000</v>
      </c>
      <c r="G51" s="38" t="s">
        <v>55</v>
      </c>
      <c r="H51" s="4">
        <v>81</v>
      </c>
      <c r="I51" s="4">
        <v>80</v>
      </c>
      <c r="J51" s="4">
        <v>82</v>
      </c>
      <c r="K51" s="17">
        <v>81</v>
      </c>
      <c r="L51" s="4">
        <v>81</v>
      </c>
      <c r="M51" s="4">
        <v>81</v>
      </c>
      <c r="N51" s="20">
        <v>81</v>
      </c>
      <c r="O51" s="4" t="s">
        <v>35</v>
      </c>
      <c r="P51" s="4" t="s">
        <v>71</v>
      </c>
      <c r="Q51" s="42" t="s">
        <v>72</v>
      </c>
      <c r="R51" s="5" t="s">
        <v>72</v>
      </c>
      <c r="T51" s="58" t="s">
        <v>18</v>
      </c>
      <c r="V51" s="58"/>
    </row>
    <row r="52" spans="2:22">
      <c r="B52" s="30">
        <v>244576280</v>
      </c>
      <c r="C52" s="4" t="s">
        <v>19</v>
      </c>
      <c r="D52" s="4" t="s">
        <v>18</v>
      </c>
      <c r="E52" s="11">
        <v>3252524</v>
      </c>
      <c r="F52" s="14">
        <v>44451</v>
      </c>
      <c r="G52" s="38" t="s">
        <v>0</v>
      </c>
      <c r="H52" s="4">
        <v>94</v>
      </c>
      <c r="I52" s="4">
        <v>100</v>
      </c>
      <c r="J52" s="4">
        <v>93</v>
      </c>
      <c r="K52" s="17">
        <v>95.666666666666671</v>
      </c>
      <c r="L52" s="4">
        <v>95</v>
      </c>
      <c r="M52" s="4">
        <v>100</v>
      </c>
      <c r="N52" s="20">
        <v>97</v>
      </c>
      <c r="O52" s="4" t="s">
        <v>36</v>
      </c>
      <c r="P52" s="4" t="s">
        <v>72</v>
      </c>
      <c r="Q52" s="42" t="s">
        <v>72</v>
      </c>
      <c r="R52" s="5" t="s">
        <v>72</v>
      </c>
    </row>
    <row r="53" spans="2:22">
      <c r="B53" s="30">
        <v>388923057</v>
      </c>
      <c r="C53" s="4" t="s">
        <v>5</v>
      </c>
      <c r="D53" s="4" t="s">
        <v>18</v>
      </c>
      <c r="E53" s="11">
        <v>8743644</v>
      </c>
      <c r="F53" s="14">
        <v>44141</v>
      </c>
      <c r="G53" s="38" t="s">
        <v>0</v>
      </c>
      <c r="H53" s="4">
        <v>60</v>
      </c>
      <c r="I53" s="4">
        <v>100</v>
      </c>
      <c r="J53" s="4">
        <v>80</v>
      </c>
      <c r="K53" s="17">
        <v>80</v>
      </c>
      <c r="L53" s="4">
        <v>40</v>
      </c>
      <c r="M53" s="4">
        <v>61</v>
      </c>
      <c r="N53" s="20">
        <v>60</v>
      </c>
      <c r="O53" s="4" t="s">
        <v>35</v>
      </c>
      <c r="P53" s="4" t="s">
        <v>71</v>
      </c>
      <c r="Q53" s="42" t="s">
        <v>72</v>
      </c>
      <c r="R53" s="5" t="s">
        <v>72</v>
      </c>
    </row>
    <row r="54" spans="2:22">
      <c r="B54" s="30">
        <v>658370843</v>
      </c>
      <c r="C54" s="4" t="s">
        <v>4</v>
      </c>
      <c r="D54" s="4" t="s">
        <v>18</v>
      </c>
      <c r="E54" s="11">
        <v>2118758</v>
      </c>
      <c r="F54" s="14">
        <v>55326</v>
      </c>
      <c r="G54" s="38" t="s">
        <v>55</v>
      </c>
      <c r="H54" s="4">
        <v>67</v>
      </c>
      <c r="I54" s="4">
        <v>99</v>
      </c>
      <c r="J54" s="4">
        <v>69</v>
      </c>
      <c r="K54" s="17">
        <v>78.333333333333329</v>
      </c>
      <c r="L54" s="4">
        <v>90</v>
      </c>
      <c r="M54" s="4">
        <v>85</v>
      </c>
      <c r="N54" s="20">
        <v>85</v>
      </c>
      <c r="O54" s="4" t="s">
        <v>36</v>
      </c>
      <c r="P54" s="4" t="s">
        <v>72</v>
      </c>
      <c r="Q54" s="42" t="s">
        <v>72</v>
      </c>
      <c r="R54" s="5" t="s">
        <v>72</v>
      </c>
    </row>
    <row r="55" spans="2:22">
      <c r="B55" s="30">
        <v>830998987</v>
      </c>
      <c r="C55" s="4" t="s">
        <v>5</v>
      </c>
      <c r="D55" s="4" t="s">
        <v>18</v>
      </c>
      <c r="E55" s="11">
        <v>3527439</v>
      </c>
      <c r="F55" s="14">
        <v>56324</v>
      </c>
      <c r="G55" s="38" t="s">
        <v>55</v>
      </c>
      <c r="H55" s="4">
        <v>80</v>
      </c>
      <c r="I55" s="4"/>
      <c r="J55" s="4">
        <v>87</v>
      </c>
      <c r="K55" s="17">
        <v>83.5</v>
      </c>
      <c r="L55" s="4">
        <v>90</v>
      </c>
      <c r="M55" s="4"/>
      <c r="N55" s="20">
        <v>44</v>
      </c>
      <c r="O55" s="4" t="s">
        <v>34</v>
      </c>
      <c r="P55" s="4" t="s">
        <v>71</v>
      </c>
      <c r="Q55" s="42" t="s">
        <v>72</v>
      </c>
      <c r="R55" s="5" t="s">
        <v>71</v>
      </c>
    </row>
    <row r="56" spans="2:22">
      <c r="B56" s="30">
        <v>983687692</v>
      </c>
      <c r="C56" s="4" t="s">
        <v>7</v>
      </c>
      <c r="D56" s="4" t="s">
        <v>18</v>
      </c>
      <c r="E56" s="11">
        <v>6347234</v>
      </c>
      <c r="F56" s="14">
        <v>55235</v>
      </c>
      <c r="G56" s="38" t="s">
        <v>0</v>
      </c>
      <c r="H56" s="4">
        <v>45</v>
      </c>
      <c r="I56" s="4">
        <v>60</v>
      </c>
      <c r="J56" s="4"/>
      <c r="K56" s="17">
        <v>52.5</v>
      </c>
      <c r="L56" s="4">
        <v>99</v>
      </c>
      <c r="M56" s="4">
        <v>94</v>
      </c>
      <c r="N56" s="20">
        <v>78</v>
      </c>
      <c r="O56" s="4" t="s">
        <v>35</v>
      </c>
      <c r="P56" s="4" t="s">
        <v>71</v>
      </c>
      <c r="Q56" s="42" t="s">
        <v>72</v>
      </c>
      <c r="R56" s="5" t="s">
        <v>72</v>
      </c>
    </row>
    <row r="57" spans="2:22" ht="13.5" thickBot="1"/>
    <row r="58" spans="2:22" ht="27" thickTop="1" thickBot="1">
      <c r="B58" s="28" t="s">
        <v>41</v>
      </c>
      <c r="C58" s="27" t="s">
        <v>1</v>
      </c>
      <c r="T58" s="58" t="s">
        <v>8</v>
      </c>
    </row>
    <row r="59" spans="2:22">
      <c r="B59" s="29">
        <v>123456789</v>
      </c>
      <c r="C59" s="8" t="s">
        <v>2</v>
      </c>
      <c r="T59" s="58" t="s">
        <v>17</v>
      </c>
    </row>
    <row r="60" spans="2:22">
      <c r="B60" s="30">
        <v>298754355</v>
      </c>
      <c r="C60" s="4" t="s">
        <v>6</v>
      </c>
    </row>
    <row r="61" spans="2:22">
      <c r="B61" s="30">
        <v>947465892</v>
      </c>
      <c r="C61" s="4" t="s">
        <v>19</v>
      </c>
    </row>
    <row r="62" spans="2:22" ht="13.5" thickBot="1">
      <c r="B62" s="31">
        <v>987654321</v>
      </c>
      <c r="C62" s="6" t="s">
        <v>42</v>
      </c>
    </row>
    <row r="63" spans="2:22" ht="14.25" thickTop="1" thickBot="1"/>
    <row r="64" spans="2:22" ht="14.25" thickTop="1" thickBot="1">
      <c r="B64" s="27" t="s">
        <v>1</v>
      </c>
      <c r="C64" s="27" t="s">
        <v>15</v>
      </c>
      <c r="T64" s="58" t="s">
        <v>8</v>
      </c>
      <c r="U64" t="s">
        <v>16</v>
      </c>
    </row>
    <row r="65" spans="2:21">
      <c r="B65" s="4" t="s">
        <v>19</v>
      </c>
      <c r="C65" s="20">
        <v>97</v>
      </c>
      <c r="T65" s="58" t="s">
        <v>18</v>
      </c>
      <c r="U65" s="58" t="s">
        <v>36</v>
      </c>
    </row>
    <row r="66" spans="2:21">
      <c r="B66" s="4" t="s">
        <v>4</v>
      </c>
      <c r="C66" s="20">
        <v>85</v>
      </c>
    </row>
    <row r="67" spans="2:21" ht="13.5" thickBot="1"/>
    <row r="68" spans="2:21" ht="14.25" thickTop="1" thickBot="1">
      <c r="B68" s="27" t="s">
        <v>1</v>
      </c>
      <c r="C68" s="27" t="s">
        <v>15</v>
      </c>
      <c r="T68" t="s">
        <v>15</v>
      </c>
    </row>
    <row r="69" spans="2:21">
      <c r="B69" s="8" t="s">
        <v>2</v>
      </c>
      <c r="C69" s="19">
        <v>89</v>
      </c>
      <c r="T69" s="58" t="s">
        <v>74</v>
      </c>
    </row>
    <row r="70" spans="2:21">
      <c r="B70" s="4" t="s">
        <v>19</v>
      </c>
      <c r="C70" s="20">
        <v>97</v>
      </c>
      <c r="T70" s="58" t="s">
        <v>75</v>
      </c>
    </row>
    <row r="71" spans="2:21">
      <c r="B71" s="4" t="s">
        <v>4</v>
      </c>
      <c r="C71" s="20">
        <v>85</v>
      </c>
    </row>
    <row r="72" spans="2:21">
      <c r="B72" s="4" t="s">
        <v>5</v>
      </c>
      <c r="C72" s="20">
        <v>44</v>
      </c>
    </row>
    <row r="73" spans="2:21" ht="13.5" thickBot="1"/>
    <row r="74" spans="2:21" ht="27" thickTop="1" thickBot="1">
      <c r="B74" s="27" t="s">
        <v>1</v>
      </c>
      <c r="C74" s="27" t="s">
        <v>14</v>
      </c>
      <c r="T74" s="27" t="s">
        <v>14</v>
      </c>
      <c r="U74" s="27" t="s">
        <v>14</v>
      </c>
    </row>
    <row r="75" spans="2:21">
      <c r="B75" s="8" t="s">
        <v>2</v>
      </c>
      <c r="C75" s="8">
        <v>80</v>
      </c>
      <c r="T75" s="58" t="s">
        <v>76</v>
      </c>
      <c r="U75" s="58" t="s">
        <v>77</v>
      </c>
    </row>
    <row r="76" spans="2:21">
      <c r="B76" s="4" t="s">
        <v>3</v>
      </c>
      <c r="C76" s="4">
        <v>81</v>
      </c>
    </row>
    <row r="77" spans="2:21">
      <c r="B77" s="4" t="s">
        <v>5</v>
      </c>
      <c r="C77" s="4">
        <v>61</v>
      </c>
    </row>
    <row r="78" spans="2:21">
      <c r="B78" s="4" t="s">
        <v>19</v>
      </c>
      <c r="C78" s="4">
        <v>65</v>
      </c>
    </row>
    <row r="79" spans="2:21" ht="13.5" thickBot="1"/>
    <row r="80" spans="2:21" ht="14.25" thickTop="1" thickBot="1">
      <c r="B80" s="27" t="s">
        <v>1</v>
      </c>
      <c r="T80" t="s">
        <v>1</v>
      </c>
    </row>
    <row r="81" spans="2:21">
      <c r="B81" s="4" t="s">
        <v>4</v>
      </c>
      <c r="T81" s="58" t="s">
        <v>78</v>
      </c>
    </row>
    <row r="82" spans="2:21" ht="13.5" thickBot="1">
      <c r="B82" s="6" t="s">
        <v>42</v>
      </c>
    </row>
    <row r="83" spans="2:21" ht="14.25" thickTop="1" thickBot="1"/>
    <row r="84" spans="2:21" ht="27" thickTop="1" thickBot="1">
      <c r="B84" s="27" t="s">
        <v>1</v>
      </c>
      <c r="C84" s="27" t="s">
        <v>8</v>
      </c>
      <c r="D84" s="27" t="s">
        <v>15</v>
      </c>
      <c r="T84" s="27" t="s">
        <v>8</v>
      </c>
      <c r="U84" s="27" t="s">
        <v>16</v>
      </c>
    </row>
    <row r="85" spans="2:21">
      <c r="B85" s="8" t="s">
        <v>2</v>
      </c>
      <c r="C85" s="8" t="s">
        <v>17</v>
      </c>
      <c r="D85" s="19">
        <v>89</v>
      </c>
      <c r="T85" s="58" t="s">
        <v>18</v>
      </c>
    </row>
    <row r="86" spans="2:21">
      <c r="B86" s="4" t="s">
        <v>3</v>
      </c>
      <c r="C86" s="4" t="s">
        <v>18</v>
      </c>
      <c r="D86" s="20">
        <v>81</v>
      </c>
      <c r="T86" s="58" t="s">
        <v>17</v>
      </c>
      <c r="U86" s="58" t="s">
        <v>36</v>
      </c>
    </row>
    <row r="87" spans="2:21">
      <c r="B87" s="4" t="s">
        <v>19</v>
      </c>
      <c r="C87" s="4" t="s">
        <v>18</v>
      </c>
      <c r="D87" s="20">
        <v>97</v>
      </c>
    </row>
    <row r="88" spans="2:21">
      <c r="B88" s="4" t="s">
        <v>5</v>
      </c>
      <c r="C88" s="4" t="s">
        <v>18</v>
      </c>
      <c r="D88" s="20">
        <v>60</v>
      </c>
    </row>
    <row r="89" spans="2:21">
      <c r="B89" s="4" t="s">
        <v>4</v>
      </c>
      <c r="C89" s="4" t="s">
        <v>18</v>
      </c>
      <c r="D89" s="20">
        <v>85</v>
      </c>
    </row>
    <row r="90" spans="2:21">
      <c r="B90" s="4" t="s">
        <v>5</v>
      </c>
      <c r="C90" s="4" t="s">
        <v>18</v>
      </c>
      <c r="D90" s="20">
        <v>44</v>
      </c>
    </row>
    <row r="91" spans="2:21">
      <c r="B91" s="4" t="s">
        <v>7</v>
      </c>
      <c r="C91" s="4" t="s">
        <v>18</v>
      </c>
      <c r="D91" s="20">
        <v>78</v>
      </c>
    </row>
    <row r="92" spans="2:21" ht="13.5" thickBot="1"/>
    <row r="93" spans="2:21" ht="14.25" thickTop="1" thickBot="1">
      <c r="B93" s="27" t="s">
        <v>1</v>
      </c>
      <c r="C93" s="27" t="s">
        <v>15</v>
      </c>
    </row>
    <row r="94" spans="2:21">
      <c r="B94" s="8" t="s">
        <v>2</v>
      </c>
      <c r="C94" s="19">
        <v>89</v>
      </c>
      <c r="T94" t="b">
        <f>N4&gt;$N$15</f>
        <v>0</v>
      </c>
    </row>
    <row r="95" spans="2:21">
      <c r="B95" s="4" t="s">
        <v>3</v>
      </c>
      <c r="C95" s="20">
        <v>81</v>
      </c>
    </row>
    <row r="96" spans="2:21">
      <c r="B96" s="4" t="s">
        <v>19</v>
      </c>
      <c r="C96" s="20">
        <v>97</v>
      </c>
    </row>
    <row r="97" spans="2:20">
      <c r="B97" s="4" t="s">
        <v>4</v>
      </c>
      <c r="C97" s="20">
        <v>85</v>
      </c>
    </row>
    <row r="98" spans="2:20">
      <c r="B98" s="4" t="s">
        <v>7</v>
      </c>
      <c r="C98" s="20">
        <v>78</v>
      </c>
    </row>
    <row r="99" spans="2:20" ht="13.5" thickBot="1">
      <c r="B99" s="6" t="s">
        <v>42</v>
      </c>
      <c r="C99" s="21">
        <v>76</v>
      </c>
    </row>
    <row r="100" spans="2:20" ht="14.25" thickTop="1" thickBot="1"/>
    <row r="101" spans="2:20" ht="27" thickTop="1" thickBot="1">
      <c r="B101" s="27" t="s">
        <v>1</v>
      </c>
      <c r="C101" s="27" t="s">
        <v>15</v>
      </c>
      <c r="T101" s="27" t="s">
        <v>15</v>
      </c>
    </row>
    <row r="102" spans="2:20">
      <c r="B102" s="8" t="s">
        <v>2</v>
      </c>
      <c r="C102" s="19">
        <v>89</v>
      </c>
      <c r="T102" s="58" t="str">
        <f>"&gt;"&amp;AVERAGE(N4:N13)</f>
        <v>&gt;74</v>
      </c>
    </row>
    <row r="103" spans="2:20">
      <c r="B103" s="4" t="s">
        <v>3</v>
      </c>
      <c r="C103" s="20">
        <v>81</v>
      </c>
    </row>
    <row r="104" spans="2:20">
      <c r="B104" s="4" t="s">
        <v>19</v>
      </c>
      <c r="C104" s="20">
        <v>97</v>
      </c>
    </row>
    <row r="105" spans="2:20">
      <c r="B105" s="4" t="s">
        <v>4</v>
      </c>
      <c r="C105" s="20">
        <v>85</v>
      </c>
    </row>
    <row r="106" spans="2:20">
      <c r="B106" s="4" t="s">
        <v>7</v>
      </c>
      <c r="C106" s="20">
        <v>78</v>
      </c>
    </row>
    <row r="107" spans="2:20" ht="13.5" thickBot="1">
      <c r="B107" s="6" t="s">
        <v>42</v>
      </c>
      <c r="C107" s="21">
        <v>76</v>
      </c>
    </row>
    <row r="108" spans="2:20" ht="13.5" thickTop="1"/>
  </sheetData>
  <mergeCells count="19">
    <mergeCell ref="A1:R1"/>
    <mergeCell ref="A3:A13"/>
    <mergeCell ref="T3:W3"/>
    <mergeCell ref="A15:A30"/>
    <mergeCell ref="P15:R15"/>
    <mergeCell ref="P23:R23"/>
    <mergeCell ref="P24:R24"/>
    <mergeCell ref="P26:R26"/>
    <mergeCell ref="P27:R27"/>
    <mergeCell ref="P29:R29"/>
    <mergeCell ref="A39:A42"/>
    <mergeCell ref="A44:A46"/>
    <mergeCell ref="B44:C44"/>
    <mergeCell ref="P30:Q30"/>
    <mergeCell ref="P31:Q31"/>
    <mergeCell ref="A32:A37"/>
    <mergeCell ref="P32:Q32"/>
    <mergeCell ref="O35:R35"/>
    <mergeCell ref="O36:P36"/>
  </mergeCells>
  <conditionalFormatting sqref="B4:B13">
    <cfRule type="duplicateValues" dxfId="24" priority="9"/>
  </conditionalFormatting>
  <conditionalFormatting sqref="N4:N13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7">
      <iconSet iconSet="3Symbols2">
        <cfvo type="percent" val="0"/>
        <cfvo type="percent" val="33"/>
        <cfvo type="percent" val="67"/>
      </iconSet>
    </cfRule>
    <cfRule type="dataBar" priority="8">
      <dataBar>
        <cfvo type="min"/>
        <cfvo type="max"/>
        <color rgb="FF008AEF"/>
      </dataBar>
    </cfRule>
  </conditionalFormatting>
  <conditionalFormatting sqref="O4:O13">
    <cfRule type="cellIs" dxfId="23" priority="3" operator="equal">
      <formula>$B$40</formula>
    </cfRule>
    <cfRule type="cellIs" dxfId="22" priority="4" operator="equal">
      <formula>$B$41</formula>
    </cfRule>
    <cfRule type="cellIs" dxfId="21" priority="5" operator="equal">
      <formula>$B$42</formula>
    </cfRule>
  </conditionalFormatting>
  <conditionalFormatting sqref="B8">
    <cfRule type="duplicateValues" dxfId="20" priority="1"/>
  </conditionalFormatting>
  <dataValidations count="4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  <dataValidation allowBlank="1" showInputMessage="1" showErrorMessage="1" sqref="Q36"/>
    <dataValidation allowBlank="1" showInputMessage="1" showErrorMessage="1" sqref="Q37:Q40"/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8"/>
  <sheetViews>
    <sheetView rightToLeft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12.42578125" bestFit="1" customWidth="1"/>
    <col min="18" max="18" width="10.5703125" bestFit="1" customWidth="1"/>
    <col min="19" max="19" width="5" bestFit="1" customWidth="1"/>
    <col min="20" max="20" width="6" bestFit="1" customWidth="1"/>
  </cols>
  <sheetData>
    <row r="1" spans="1:23" ht="30.75">
      <c r="A1" s="288" t="s">
        <v>45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T1" s="59"/>
    </row>
    <row r="2" spans="1:23" ht="13.5" thickBot="1"/>
    <row r="3" spans="1:23" s="3" customFormat="1" ht="37.5" customHeight="1" thickTop="1" thickBot="1">
      <c r="A3" s="289" t="s">
        <v>46</v>
      </c>
      <c r="B3" s="28" t="s">
        <v>41</v>
      </c>
      <c r="C3" s="27" t="s">
        <v>1</v>
      </c>
      <c r="D3" s="27" t="s">
        <v>8</v>
      </c>
      <c r="E3" s="27" t="s">
        <v>51</v>
      </c>
      <c r="F3" s="27" t="s">
        <v>50</v>
      </c>
      <c r="G3" s="27" t="s">
        <v>54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39</v>
      </c>
      <c r="Q3" s="40" t="s">
        <v>40</v>
      </c>
      <c r="R3" s="60" t="s">
        <v>59</v>
      </c>
      <c r="S3"/>
      <c r="T3" s="292" t="s">
        <v>73</v>
      </c>
      <c r="U3" s="293"/>
      <c r="V3" s="293"/>
      <c r="W3" s="293"/>
    </row>
    <row r="4" spans="1:23">
      <c r="A4" s="290"/>
      <c r="B4" s="29">
        <v>123456789</v>
      </c>
      <c r="C4" s="8" t="s">
        <v>2</v>
      </c>
      <c r="D4" s="8" t="s">
        <v>17</v>
      </c>
      <c r="E4" s="10">
        <v>9877665</v>
      </c>
      <c r="F4" s="13">
        <v>123</v>
      </c>
      <c r="G4" s="37" t="s">
        <v>55</v>
      </c>
      <c r="H4" s="8">
        <v>89</v>
      </c>
      <c r="I4" s="8">
        <v>86</v>
      </c>
      <c r="J4" s="8">
        <v>99</v>
      </c>
      <c r="K4" s="16">
        <f t="shared" ref="K4:K13" si="0">AVERAGE(H4:J4)</f>
        <v>91.333333333333329</v>
      </c>
      <c r="L4" s="8">
        <v>99</v>
      </c>
      <c r="M4" s="8">
        <v>80</v>
      </c>
      <c r="N4" s="19">
        <f t="shared" ref="N4:N13" si="1">ROUND(H4*$C$32+I4*$C$33+J4*$C$34+L4*$C$35+M4*$C$36,0)</f>
        <v>89</v>
      </c>
      <c r="O4" s="8" t="str">
        <f t="shared" ref="O4:O13" si="2">IF(N4&lt;$C$41,$B$40,IF(N4&lt;$C$42,$B$41,$B$42))</f>
        <v>מצטיין</v>
      </c>
      <c r="P4" s="8" t="str">
        <f t="shared" ref="P4:P13" si="3">IF(AND(D4=$C$46,O4=$B$42),"מלגה","")</f>
        <v/>
      </c>
      <c r="Q4" s="41" t="str">
        <f t="shared" ref="Q4:Q13" si="4">IF(OR(D4=$C$46,O4=$B$42),"מלגה","")</f>
        <v>מלגה</v>
      </c>
      <c r="R4" s="9" t="str">
        <f t="shared" ref="R4:R13" si="5">IF(NOT(N4&lt;$C$41),"מלגה","")</f>
        <v>מלגה</v>
      </c>
    </row>
    <row r="5" spans="1:23">
      <c r="A5" s="290"/>
      <c r="B5" s="30">
        <v>193878400</v>
      </c>
      <c r="C5" s="4" t="s">
        <v>3</v>
      </c>
      <c r="D5" s="4" t="s">
        <v>18</v>
      </c>
      <c r="E5" s="11">
        <v>9876544</v>
      </c>
      <c r="F5" s="14">
        <v>70000</v>
      </c>
      <c r="G5" s="38" t="s">
        <v>55</v>
      </c>
      <c r="H5" s="4">
        <v>81</v>
      </c>
      <c r="I5" s="4">
        <v>80</v>
      </c>
      <c r="J5" s="4">
        <v>82</v>
      </c>
      <c r="K5" s="17">
        <f t="shared" si="0"/>
        <v>81</v>
      </c>
      <c r="L5" s="4">
        <v>81</v>
      </c>
      <c r="M5" s="4">
        <v>81</v>
      </c>
      <c r="N5" s="20">
        <f t="shared" si="1"/>
        <v>81</v>
      </c>
      <c r="O5" s="4" t="str">
        <f t="shared" si="2"/>
        <v>עובר</v>
      </c>
      <c r="P5" s="4" t="str">
        <f t="shared" si="3"/>
        <v/>
      </c>
      <c r="Q5" s="42" t="str">
        <f t="shared" si="4"/>
        <v>מלגה</v>
      </c>
      <c r="R5" s="5" t="str">
        <f t="shared" si="5"/>
        <v>מלגה</v>
      </c>
    </row>
    <row r="6" spans="1:23">
      <c r="A6" s="290"/>
      <c r="B6" s="30">
        <v>244576280</v>
      </c>
      <c r="C6" s="4" t="s">
        <v>19</v>
      </c>
      <c r="D6" s="4" t="s">
        <v>18</v>
      </c>
      <c r="E6" s="11">
        <v>3252524</v>
      </c>
      <c r="F6" s="14">
        <v>44451</v>
      </c>
      <c r="G6" s="38" t="s">
        <v>0</v>
      </c>
      <c r="H6" s="4">
        <v>94</v>
      </c>
      <c r="I6" s="4">
        <v>100</v>
      </c>
      <c r="J6" s="4">
        <v>93</v>
      </c>
      <c r="K6" s="17">
        <f t="shared" si="0"/>
        <v>95.666666666666671</v>
      </c>
      <c r="L6" s="4">
        <v>95</v>
      </c>
      <c r="M6" s="4">
        <v>100</v>
      </c>
      <c r="N6" s="20">
        <f t="shared" si="1"/>
        <v>97</v>
      </c>
      <c r="O6" s="4" t="str">
        <f t="shared" si="2"/>
        <v>מצטיין</v>
      </c>
      <c r="P6" s="4" t="str">
        <f t="shared" si="3"/>
        <v>מלגה</v>
      </c>
      <c r="Q6" s="42" t="str">
        <f t="shared" si="4"/>
        <v>מלגה</v>
      </c>
      <c r="R6" s="5" t="str">
        <f t="shared" si="5"/>
        <v>מלגה</v>
      </c>
    </row>
    <row r="7" spans="1:23">
      <c r="A7" s="290"/>
      <c r="B7" s="30">
        <v>298754355</v>
      </c>
      <c r="C7" s="4" t="s">
        <v>6</v>
      </c>
      <c r="D7" s="4" t="s">
        <v>17</v>
      </c>
      <c r="E7" s="11">
        <v>8763456</v>
      </c>
      <c r="F7" s="14">
        <v>83934</v>
      </c>
      <c r="G7" s="38" t="s">
        <v>0</v>
      </c>
      <c r="H7" s="4">
        <v>88</v>
      </c>
      <c r="I7" s="4">
        <v>90</v>
      </c>
      <c r="J7" s="4">
        <v>74</v>
      </c>
      <c r="K7" s="17">
        <f t="shared" si="0"/>
        <v>84</v>
      </c>
      <c r="L7" s="4">
        <v>55</v>
      </c>
      <c r="M7" s="4">
        <v>45</v>
      </c>
      <c r="N7" s="20">
        <f t="shared" si="1"/>
        <v>60</v>
      </c>
      <c r="O7" s="4" t="str">
        <f t="shared" si="2"/>
        <v>עובר</v>
      </c>
      <c r="P7" s="4" t="str">
        <f t="shared" si="3"/>
        <v/>
      </c>
      <c r="Q7" s="42" t="str">
        <f t="shared" si="4"/>
        <v/>
      </c>
      <c r="R7" s="5" t="str">
        <f t="shared" si="5"/>
        <v>מלגה</v>
      </c>
    </row>
    <row r="8" spans="1:23">
      <c r="A8" s="290"/>
      <c r="B8" s="30">
        <v>388923057</v>
      </c>
      <c r="C8" s="4" t="s">
        <v>5</v>
      </c>
      <c r="D8" s="4" t="s">
        <v>18</v>
      </c>
      <c r="E8" s="11">
        <v>8743644</v>
      </c>
      <c r="F8" s="14">
        <v>44141</v>
      </c>
      <c r="G8" s="38" t="s">
        <v>0</v>
      </c>
      <c r="H8" s="4">
        <v>60</v>
      </c>
      <c r="I8" s="4">
        <v>100</v>
      </c>
      <c r="J8" s="4">
        <v>80</v>
      </c>
      <c r="K8" s="17">
        <f t="shared" si="0"/>
        <v>80</v>
      </c>
      <c r="L8" s="4">
        <v>40</v>
      </c>
      <c r="M8" s="4">
        <v>61</v>
      </c>
      <c r="N8" s="20">
        <f t="shared" si="1"/>
        <v>60</v>
      </c>
      <c r="O8" s="4" t="str">
        <f t="shared" si="2"/>
        <v>עובר</v>
      </c>
      <c r="P8" s="4" t="str">
        <f t="shared" si="3"/>
        <v/>
      </c>
      <c r="Q8" s="42" t="str">
        <f t="shared" si="4"/>
        <v>מלגה</v>
      </c>
      <c r="R8" s="5" t="str">
        <f t="shared" si="5"/>
        <v>מלגה</v>
      </c>
    </row>
    <row r="9" spans="1:23">
      <c r="A9" s="290"/>
      <c r="B9" s="30">
        <v>658370843</v>
      </c>
      <c r="C9" s="4" t="s">
        <v>4</v>
      </c>
      <c r="D9" s="4" t="s">
        <v>18</v>
      </c>
      <c r="E9" s="11">
        <v>2118758</v>
      </c>
      <c r="F9" s="14">
        <v>55326</v>
      </c>
      <c r="G9" s="38" t="s">
        <v>55</v>
      </c>
      <c r="H9" s="4">
        <v>67</v>
      </c>
      <c r="I9" s="4">
        <v>99</v>
      </c>
      <c r="J9" s="4">
        <v>69</v>
      </c>
      <c r="K9" s="17">
        <f t="shared" si="0"/>
        <v>78.333333333333329</v>
      </c>
      <c r="L9" s="4">
        <v>90</v>
      </c>
      <c r="M9" s="4">
        <v>85</v>
      </c>
      <c r="N9" s="20">
        <f t="shared" si="1"/>
        <v>85</v>
      </c>
      <c r="O9" s="4" t="str">
        <f t="shared" si="2"/>
        <v>מצטיין</v>
      </c>
      <c r="P9" s="4" t="str">
        <f t="shared" si="3"/>
        <v>מלגה</v>
      </c>
      <c r="Q9" s="42" t="str">
        <f t="shared" si="4"/>
        <v>מלגה</v>
      </c>
      <c r="R9" s="5" t="str">
        <f t="shared" si="5"/>
        <v>מלגה</v>
      </c>
    </row>
    <row r="10" spans="1:23">
      <c r="A10" s="290"/>
      <c r="B10" s="30">
        <v>830998987</v>
      </c>
      <c r="C10" s="4" t="s">
        <v>5</v>
      </c>
      <c r="D10" s="4" t="s">
        <v>18</v>
      </c>
      <c r="E10" s="11">
        <v>3527439</v>
      </c>
      <c r="F10" s="14">
        <v>56324</v>
      </c>
      <c r="G10" s="38" t="s">
        <v>55</v>
      </c>
      <c r="H10" s="4">
        <v>80</v>
      </c>
      <c r="I10" s="4"/>
      <c r="J10" s="4">
        <v>87</v>
      </c>
      <c r="K10" s="17">
        <f t="shared" si="0"/>
        <v>83.5</v>
      </c>
      <c r="L10" s="4">
        <v>90</v>
      </c>
      <c r="M10" s="4"/>
      <c r="N10" s="20">
        <f t="shared" si="1"/>
        <v>44</v>
      </c>
      <c r="O10" s="4" t="str">
        <f t="shared" si="2"/>
        <v>נכשל</v>
      </c>
      <c r="P10" s="4" t="str">
        <f t="shared" si="3"/>
        <v/>
      </c>
      <c r="Q10" s="42" t="str">
        <f t="shared" si="4"/>
        <v>מלגה</v>
      </c>
      <c r="R10" s="5" t="str">
        <f t="shared" si="5"/>
        <v/>
      </c>
    </row>
    <row r="11" spans="1:23">
      <c r="A11" s="290"/>
      <c r="B11" s="30">
        <v>947465892</v>
      </c>
      <c r="C11" s="4" t="s">
        <v>19</v>
      </c>
      <c r="D11" s="4" t="s">
        <v>17</v>
      </c>
      <c r="E11" s="11">
        <v>3434324</v>
      </c>
      <c r="F11" s="14">
        <v>41466</v>
      </c>
      <c r="G11" s="38" t="s">
        <v>0</v>
      </c>
      <c r="H11" s="4"/>
      <c r="I11" s="4">
        <v>79</v>
      </c>
      <c r="J11" s="4">
        <v>99</v>
      </c>
      <c r="K11" s="17">
        <f t="shared" si="0"/>
        <v>89</v>
      </c>
      <c r="L11" s="4">
        <v>86</v>
      </c>
      <c r="M11" s="4">
        <v>65</v>
      </c>
      <c r="N11" s="20">
        <f t="shared" si="1"/>
        <v>70</v>
      </c>
      <c r="O11" s="4" t="str">
        <f t="shared" si="2"/>
        <v>עובר</v>
      </c>
      <c r="P11" s="4" t="str">
        <f t="shared" si="3"/>
        <v/>
      </c>
      <c r="Q11" s="42" t="str">
        <f t="shared" si="4"/>
        <v/>
      </c>
      <c r="R11" s="5" t="str">
        <f t="shared" si="5"/>
        <v>מלגה</v>
      </c>
    </row>
    <row r="12" spans="1:23">
      <c r="A12" s="290"/>
      <c r="B12" s="30">
        <v>983687692</v>
      </c>
      <c r="C12" s="4" t="s">
        <v>7</v>
      </c>
      <c r="D12" s="4" t="s">
        <v>18</v>
      </c>
      <c r="E12" s="11">
        <v>6347234</v>
      </c>
      <c r="F12" s="14">
        <v>55235</v>
      </c>
      <c r="G12" s="38" t="s">
        <v>0</v>
      </c>
      <c r="H12" s="4">
        <v>45</v>
      </c>
      <c r="I12" s="4">
        <v>60</v>
      </c>
      <c r="J12" s="4"/>
      <c r="K12" s="17">
        <f t="shared" si="0"/>
        <v>52.5</v>
      </c>
      <c r="L12" s="4">
        <v>99</v>
      </c>
      <c r="M12" s="4">
        <v>94</v>
      </c>
      <c r="N12" s="20">
        <f t="shared" si="1"/>
        <v>78</v>
      </c>
      <c r="O12" s="4" t="str">
        <f t="shared" si="2"/>
        <v>עובר</v>
      </c>
      <c r="P12" s="4" t="str">
        <f t="shared" si="3"/>
        <v/>
      </c>
      <c r="Q12" s="42" t="str">
        <f t="shared" si="4"/>
        <v>מלגה</v>
      </c>
      <c r="R12" s="5" t="str">
        <f t="shared" si="5"/>
        <v>מלגה</v>
      </c>
    </row>
    <row r="13" spans="1:23" ht="13.5" thickBot="1">
      <c r="A13" s="291"/>
      <c r="B13" s="31">
        <v>987654321</v>
      </c>
      <c r="C13" s="6" t="s">
        <v>42</v>
      </c>
      <c r="D13" s="6" t="s">
        <v>17</v>
      </c>
      <c r="E13" s="12">
        <v>7563094</v>
      </c>
      <c r="F13" s="15">
        <v>86534</v>
      </c>
      <c r="G13" s="39" t="s">
        <v>55</v>
      </c>
      <c r="H13" s="6">
        <v>91</v>
      </c>
      <c r="I13" s="6">
        <v>79</v>
      </c>
      <c r="J13" s="6">
        <v>85</v>
      </c>
      <c r="K13" s="18">
        <f t="shared" si="0"/>
        <v>85</v>
      </c>
      <c r="L13" s="6">
        <v>100</v>
      </c>
      <c r="M13" s="6">
        <v>50</v>
      </c>
      <c r="N13" s="21">
        <f t="shared" si="1"/>
        <v>76</v>
      </c>
      <c r="O13" s="6" t="str">
        <f t="shared" si="2"/>
        <v>עובר</v>
      </c>
      <c r="P13" s="6" t="str">
        <f t="shared" si="3"/>
        <v/>
      </c>
      <c r="Q13" s="43" t="str">
        <f t="shared" si="4"/>
        <v/>
      </c>
      <c r="R13" s="7" t="str">
        <f t="shared" si="5"/>
        <v>מלגה</v>
      </c>
    </row>
    <row r="14" spans="1:23" ht="14.25" thickTop="1" thickBot="1">
      <c r="L14"/>
      <c r="M14"/>
    </row>
    <row r="15" spans="1:23" ht="12.75" customHeight="1" thickTop="1" thickBot="1">
      <c r="A15" s="294" t="s">
        <v>47</v>
      </c>
      <c r="B15" s="22" t="s">
        <v>20</v>
      </c>
      <c r="C15" s="22"/>
      <c r="D15" s="22"/>
      <c r="E15" s="22"/>
      <c r="F15" s="22"/>
      <c r="G15" s="22"/>
      <c r="H15" s="32">
        <f>AVERAGE(H4:H13)</f>
        <v>77.222222222222229</v>
      </c>
      <c r="I15" s="32">
        <f t="shared" ref="I15:N15" si="6">AVERAGE(I4:I13)</f>
        <v>85.888888888888886</v>
      </c>
      <c r="J15" s="32">
        <f t="shared" si="6"/>
        <v>85.333333333333329</v>
      </c>
      <c r="K15" s="32">
        <f t="shared" si="6"/>
        <v>82.033333333333331</v>
      </c>
      <c r="L15" s="32">
        <f t="shared" si="6"/>
        <v>83.5</v>
      </c>
      <c r="M15" s="32">
        <f t="shared" si="6"/>
        <v>73.444444444444443</v>
      </c>
      <c r="N15" s="33">
        <f t="shared" si="6"/>
        <v>74</v>
      </c>
      <c r="P15" s="298" t="s">
        <v>64</v>
      </c>
      <c r="Q15" s="299"/>
      <c r="R15" s="300"/>
    </row>
    <row r="16" spans="1:23">
      <c r="A16" s="295"/>
      <c r="B16" s="4" t="s">
        <v>21</v>
      </c>
      <c r="C16" s="4"/>
      <c r="D16" s="4"/>
      <c r="E16" s="4"/>
      <c r="F16" s="4"/>
      <c r="G16" s="4"/>
      <c r="H16" s="17">
        <f>MEDIAN(H4:H13)</f>
        <v>81</v>
      </c>
      <c r="I16" s="17">
        <f t="shared" ref="I16:N16" si="7">MEDIAN(I4:I13)</f>
        <v>86</v>
      </c>
      <c r="J16" s="17">
        <f t="shared" si="7"/>
        <v>85</v>
      </c>
      <c r="K16" s="17">
        <f t="shared" si="7"/>
        <v>83.75</v>
      </c>
      <c r="L16" s="17">
        <f t="shared" si="7"/>
        <v>90</v>
      </c>
      <c r="M16" s="17">
        <f t="shared" si="7"/>
        <v>80</v>
      </c>
      <c r="N16" s="25">
        <f t="shared" si="7"/>
        <v>77</v>
      </c>
      <c r="P16" s="55" t="s">
        <v>65</v>
      </c>
      <c r="Q16" s="8"/>
      <c r="R16" s="9"/>
    </row>
    <row r="17" spans="1:18">
      <c r="A17" s="295"/>
      <c r="B17" s="4" t="s">
        <v>22</v>
      </c>
      <c r="C17" s="4"/>
      <c r="D17" s="4"/>
      <c r="E17" s="4"/>
      <c r="F17" s="4"/>
      <c r="G17" s="4"/>
      <c r="H17" s="17" t="e">
        <f>MODE(H4:H13)</f>
        <v>#N/A</v>
      </c>
      <c r="I17" s="17">
        <f t="shared" ref="I17:N17" si="8">MODE(I4:I13)</f>
        <v>100</v>
      </c>
      <c r="J17" s="17">
        <f t="shared" si="8"/>
        <v>99</v>
      </c>
      <c r="K17" s="17" t="e">
        <f t="shared" si="8"/>
        <v>#N/A</v>
      </c>
      <c r="L17" s="17">
        <f t="shared" si="8"/>
        <v>99</v>
      </c>
      <c r="M17" s="17" t="e">
        <f t="shared" si="8"/>
        <v>#N/A</v>
      </c>
      <c r="N17" s="25">
        <f t="shared" si="8"/>
        <v>60</v>
      </c>
      <c r="P17" s="56" t="s">
        <v>66</v>
      </c>
      <c r="Q17" s="4"/>
      <c r="R17" s="9"/>
    </row>
    <row r="18" spans="1:18">
      <c r="A18" s="295"/>
      <c r="B18" s="4" t="s">
        <v>23</v>
      </c>
      <c r="C18" s="4"/>
      <c r="D18" s="4"/>
      <c r="E18" s="4"/>
      <c r="F18" s="4"/>
      <c r="G18" s="4"/>
      <c r="H18" s="17">
        <f>MAX(H4:H13)</f>
        <v>94</v>
      </c>
      <c r="I18" s="17">
        <f t="shared" ref="I18:N18" si="9">MAX(I4:I13)</f>
        <v>100</v>
      </c>
      <c r="J18" s="17">
        <f t="shared" si="9"/>
        <v>99</v>
      </c>
      <c r="K18" s="17">
        <f t="shared" si="9"/>
        <v>95.666666666666671</v>
      </c>
      <c r="L18" s="17">
        <f t="shared" si="9"/>
        <v>100</v>
      </c>
      <c r="M18" s="17">
        <f t="shared" si="9"/>
        <v>100</v>
      </c>
      <c r="N18" s="25">
        <f t="shared" si="9"/>
        <v>97</v>
      </c>
      <c r="P18" s="56" t="s">
        <v>67</v>
      </c>
      <c r="Q18" s="4"/>
      <c r="R18" s="9"/>
    </row>
    <row r="19" spans="1:18">
      <c r="A19" s="295"/>
      <c r="B19" s="4" t="s">
        <v>24</v>
      </c>
      <c r="C19" s="4"/>
      <c r="D19" s="4"/>
      <c r="E19" s="4"/>
      <c r="F19" s="4"/>
      <c r="G19" s="4"/>
      <c r="H19" s="17">
        <f>MIN(H4:H13)</f>
        <v>45</v>
      </c>
      <c r="I19" s="17">
        <f t="shared" ref="I19:N19" si="10">MIN(I4:I13)</f>
        <v>60</v>
      </c>
      <c r="J19" s="17">
        <f t="shared" si="10"/>
        <v>69</v>
      </c>
      <c r="K19" s="17">
        <f t="shared" si="10"/>
        <v>52.5</v>
      </c>
      <c r="L19" s="17">
        <f t="shared" si="10"/>
        <v>40</v>
      </c>
      <c r="M19" s="17">
        <f t="shared" si="10"/>
        <v>45</v>
      </c>
      <c r="N19" s="25">
        <f t="shared" si="10"/>
        <v>44</v>
      </c>
      <c r="P19" s="56" t="s">
        <v>68</v>
      </c>
      <c r="Q19" s="4"/>
      <c r="R19" s="5"/>
    </row>
    <row r="20" spans="1:18">
      <c r="A20" s="295"/>
      <c r="B20" s="4" t="s">
        <v>43</v>
      </c>
      <c r="C20" s="4"/>
      <c r="D20" s="4"/>
      <c r="E20" s="4"/>
      <c r="F20" s="4"/>
      <c r="G20" s="4"/>
      <c r="H20" s="17">
        <f>_xlfn.STDEV.P(H4:H13)</f>
        <v>15.59043708159145</v>
      </c>
      <c r="I20" s="17">
        <f t="shared" ref="I20:N20" si="11">_xlfn.STDEV.P(I4:I13)</f>
        <v>12.4136523808305</v>
      </c>
      <c r="J20" s="17">
        <f t="shared" si="11"/>
        <v>9.8319208025017506</v>
      </c>
      <c r="K20" s="17">
        <f t="shared" si="11"/>
        <v>11.076200712438522</v>
      </c>
      <c r="L20" s="17">
        <f t="shared" si="11"/>
        <v>19.200260414900626</v>
      </c>
      <c r="M20" s="17">
        <f t="shared" si="11"/>
        <v>18.093038017186554</v>
      </c>
      <c r="N20" s="25">
        <f t="shared" si="11"/>
        <v>15.006665185843255</v>
      </c>
      <c r="P20" s="56" t="s">
        <v>69</v>
      </c>
      <c r="Q20" s="4"/>
      <c r="R20" s="5"/>
    </row>
    <row r="21" spans="1:18" ht="13.5" thickBot="1">
      <c r="A21" s="295"/>
      <c r="B21" s="4" t="s">
        <v>44</v>
      </c>
      <c r="C21" s="4"/>
      <c r="D21" s="4"/>
      <c r="E21" s="4"/>
      <c r="F21" s="4"/>
      <c r="G21" s="4"/>
      <c r="H21" s="17">
        <f>_xlfn.VAR.P(H4:H13)</f>
        <v>243.06172839506172</v>
      </c>
      <c r="I21" s="17">
        <f t="shared" ref="I21:N21" si="12">_xlfn.VAR.P(I4:I13)</f>
        <v>154.09876543209876</v>
      </c>
      <c r="J21" s="17">
        <f t="shared" si="12"/>
        <v>96.666666666666671</v>
      </c>
      <c r="K21" s="17">
        <f t="shared" si="12"/>
        <v>122.68222222222364</v>
      </c>
      <c r="L21" s="17">
        <f t="shared" si="12"/>
        <v>368.65</v>
      </c>
      <c r="M21" s="17">
        <f t="shared" si="12"/>
        <v>327.35802469135803</v>
      </c>
      <c r="N21" s="25">
        <f t="shared" si="12"/>
        <v>225.2</v>
      </c>
      <c r="P21" s="57" t="s">
        <v>70</v>
      </c>
      <c r="Q21" s="54"/>
      <c r="R21" s="7"/>
    </row>
    <row r="22" spans="1:18" ht="14.25" thickTop="1" thickBot="1">
      <c r="A22" s="295"/>
      <c r="B22" s="4" t="s">
        <v>37</v>
      </c>
      <c r="C22" s="4"/>
      <c r="D22" s="4"/>
      <c r="E22" s="4"/>
      <c r="F22" s="4"/>
      <c r="G22" s="4"/>
      <c r="H22" s="4">
        <f>COUNT(H4:H13)</f>
        <v>9</v>
      </c>
      <c r="I22" s="4">
        <f t="shared" ref="I22:N22" si="13">COUNT(I4:I13)</f>
        <v>9</v>
      </c>
      <c r="J22" s="4">
        <f t="shared" si="13"/>
        <v>9</v>
      </c>
      <c r="K22" s="4">
        <f t="shared" si="13"/>
        <v>10</v>
      </c>
      <c r="L22" s="4">
        <f t="shared" si="13"/>
        <v>10</v>
      </c>
      <c r="M22" s="4">
        <f t="shared" si="13"/>
        <v>9</v>
      </c>
      <c r="N22" s="5">
        <f t="shared" si="13"/>
        <v>10</v>
      </c>
    </row>
    <row r="23" spans="1:18" ht="26.25" customHeight="1" thickTop="1">
      <c r="A23" s="295"/>
      <c r="B23" s="4" t="s">
        <v>25</v>
      </c>
      <c r="C23" s="4"/>
      <c r="D23" s="4"/>
      <c r="E23" s="4"/>
      <c r="F23" s="4"/>
      <c r="G23" s="4"/>
      <c r="H23" s="4">
        <f>COUNTIF(H4:H13,"&lt;"&amp;$C$41)</f>
        <v>1</v>
      </c>
      <c r="I23" s="4">
        <f t="shared" ref="I23:N23" si="14">COUNTIF(I4:I13,"&lt;"&amp;$C$41)</f>
        <v>0</v>
      </c>
      <c r="J23" s="4">
        <f t="shared" si="14"/>
        <v>0</v>
      </c>
      <c r="K23" s="4">
        <f t="shared" si="14"/>
        <v>1</v>
      </c>
      <c r="L23" s="4">
        <f t="shared" si="14"/>
        <v>2</v>
      </c>
      <c r="M23" s="4">
        <f t="shared" si="14"/>
        <v>2</v>
      </c>
      <c r="N23" s="24">
        <f t="shared" si="14"/>
        <v>1</v>
      </c>
      <c r="P23" s="301" t="s">
        <v>170</v>
      </c>
      <c r="Q23" s="302"/>
      <c r="R23" s="303"/>
    </row>
    <row r="24" spans="1:18" ht="13.5" thickBot="1">
      <c r="A24" s="295"/>
      <c r="B24" s="4" t="s">
        <v>52</v>
      </c>
      <c r="C24" s="4"/>
      <c r="D24" s="4"/>
      <c r="E24" s="4"/>
      <c r="F24" s="4"/>
      <c r="G24" s="4"/>
      <c r="H24" s="4">
        <f>COUNTIFS(H4:H13,"&gt;="&amp;$C$41,H4:H13,"&lt;"&amp;$C$42)</f>
        <v>4</v>
      </c>
      <c r="I24" s="4">
        <f t="shared" ref="I24:N24" si="15">COUNTIFS(I4:I13,"&gt;="&amp;$C$41,I4:I13,"&lt;"&amp;$C$42)</f>
        <v>4</v>
      </c>
      <c r="J24" s="4">
        <f t="shared" si="15"/>
        <v>4</v>
      </c>
      <c r="K24" s="4">
        <f t="shared" si="15"/>
        <v>5</v>
      </c>
      <c r="L24" s="4">
        <f t="shared" si="15"/>
        <v>1</v>
      </c>
      <c r="M24" s="4">
        <f t="shared" si="15"/>
        <v>4</v>
      </c>
      <c r="N24" s="24">
        <f t="shared" si="15"/>
        <v>6</v>
      </c>
      <c r="P24" s="304" t="str">
        <f>LOOKUP(388923057,B4:B13,C4:C13)</f>
        <v>מיכל</v>
      </c>
      <c r="Q24" s="305"/>
      <c r="R24" s="306"/>
    </row>
    <row r="25" spans="1:18" ht="14.25" thickTop="1" thickBot="1">
      <c r="A25" s="295"/>
      <c r="B25" s="4" t="s">
        <v>53</v>
      </c>
      <c r="C25" s="4"/>
      <c r="D25" s="4"/>
      <c r="E25" s="4"/>
      <c r="F25" s="4"/>
      <c r="G25" s="4"/>
      <c r="H25" s="4">
        <f>COUNTIF(H4:H13,E42)</f>
        <v>4</v>
      </c>
      <c r="I25" s="4">
        <f t="shared" ref="I25:N25" si="16">COUNTIF(I4:I13,"&gt;="&amp;$C$42)</f>
        <v>5</v>
      </c>
      <c r="J25" s="4">
        <f t="shared" si="16"/>
        <v>5</v>
      </c>
      <c r="K25" s="4">
        <f t="shared" si="16"/>
        <v>4</v>
      </c>
      <c r="L25" s="4">
        <f t="shared" si="16"/>
        <v>7</v>
      </c>
      <c r="M25" s="4">
        <f t="shared" si="16"/>
        <v>3</v>
      </c>
      <c r="N25" s="24">
        <f t="shared" si="16"/>
        <v>3</v>
      </c>
    </row>
    <row r="26" spans="1:18" ht="13.5" thickTop="1">
      <c r="A26" s="295"/>
      <c r="B26" s="38" t="s">
        <v>60</v>
      </c>
      <c r="C26" s="4" t="str">
        <f>B45</f>
        <v>סטודנטים</v>
      </c>
      <c r="D26" s="4"/>
      <c r="E26" s="4"/>
      <c r="F26" s="4"/>
      <c r="G26" s="4"/>
      <c r="H26" s="4">
        <f>COUNTIFS($D$4:$D$13,$C$45,H4:H13,"&gt;="&amp;$C$42)</f>
        <v>3</v>
      </c>
      <c r="I26" s="4">
        <f t="shared" ref="I26:N26" si="17">COUNTIFS($D$4:$D$13,$C$45,I4:I13,"&gt;="&amp;$C$42)</f>
        <v>2</v>
      </c>
      <c r="J26" s="4">
        <f t="shared" si="17"/>
        <v>3</v>
      </c>
      <c r="K26" s="4">
        <f t="shared" si="17"/>
        <v>3</v>
      </c>
      <c r="L26" s="4">
        <f t="shared" si="17"/>
        <v>3</v>
      </c>
      <c r="M26" s="4">
        <f t="shared" si="17"/>
        <v>0</v>
      </c>
      <c r="N26" s="5">
        <f t="shared" si="17"/>
        <v>1</v>
      </c>
      <c r="P26" s="307" t="s">
        <v>171</v>
      </c>
      <c r="Q26" s="308"/>
      <c r="R26" s="278"/>
    </row>
    <row r="27" spans="1:18" ht="13.5" thickBot="1">
      <c r="A27" s="296"/>
      <c r="B27" s="44"/>
      <c r="C27" s="4" t="str">
        <f>B46</f>
        <v>סטודנטיות</v>
      </c>
      <c r="D27" s="44"/>
      <c r="E27" s="44"/>
      <c r="F27" s="44"/>
      <c r="G27" s="44"/>
      <c r="H27" s="44">
        <f>COUNTIFS($D$4:$D$13,$C$46,H4:H13,$E$42)</f>
        <v>1</v>
      </c>
      <c r="I27" s="44">
        <f t="shared" ref="I27:N27" si="18">COUNTIFS($D$4:$D$13,$C$46,I4:I13,$E$42)</f>
        <v>3</v>
      </c>
      <c r="J27" s="44">
        <f t="shared" si="18"/>
        <v>2</v>
      </c>
      <c r="K27" s="44">
        <f t="shared" si="18"/>
        <v>1</v>
      </c>
      <c r="L27" s="44">
        <f t="shared" si="18"/>
        <v>4</v>
      </c>
      <c r="M27" s="44">
        <f t="shared" si="18"/>
        <v>3</v>
      </c>
      <c r="N27" s="45">
        <f t="shared" si="18"/>
        <v>2</v>
      </c>
      <c r="P27" s="304">
        <f>MATCH(E3,B3:R3,0)</f>
        <v>4</v>
      </c>
      <c r="Q27" s="305"/>
      <c r="R27" s="306"/>
    </row>
    <row r="28" spans="1:18" ht="14.25" thickTop="1" thickBot="1">
      <c r="A28" s="296"/>
      <c r="B28" s="44" t="s">
        <v>38</v>
      </c>
      <c r="C28" s="44"/>
      <c r="D28" s="44">
        <f>COUNTA(C4:C13)</f>
        <v>10</v>
      </c>
      <c r="E28" s="44"/>
      <c r="F28" s="44"/>
      <c r="G28" s="48" t="s">
        <v>63</v>
      </c>
      <c r="H28" s="49">
        <f>AVERAGEIFS(H4:H13,H4:H13,"&gt;="&amp;$C$41,H4:H13,"&lt;"&amp;$C$42)</f>
        <v>72</v>
      </c>
      <c r="I28" s="49">
        <f t="shared" ref="I28:N28" si="19">AVERAGEIFS(I4:I13,I4:I13,"&gt;="&amp;$C$41,I4:I13,"&lt;"&amp;$C$42)</f>
        <v>74.5</v>
      </c>
      <c r="J28" s="49">
        <f t="shared" si="19"/>
        <v>76.25</v>
      </c>
      <c r="K28" s="49">
        <f t="shared" si="19"/>
        <v>81.36666666666666</v>
      </c>
      <c r="L28" s="49">
        <f t="shared" si="19"/>
        <v>81</v>
      </c>
      <c r="M28" s="49">
        <f t="shared" si="19"/>
        <v>71.75</v>
      </c>
      <c r="N28" s="50">
        <f t="shared" si="19"/>
        <v>70.833333333333329</v>
      </c>
    </row>
    <row r="29" spans="1:18" ht="13.5" thickTop="1">
      <c r="A29" s="296"/>
      <c r="B29" s="38" t="s">
        <v>60</v>
      </c>
      <c r="C29" s="44" t="str">
        <f>B45</f>
        <v>סטודנטים</v>
      </c>
      <c r="D29" s="44">
        <f>COUNTIF(D4:D13,C45)</f>
        <v>4</v>
      </c>
      <c r="E29" s="44"/>
      <c r="F29" s="44"/>
      <c r="G29" s="47" t="s">
        <v>62</v>
      </c>
      <c r="H29" s="49">
        <f>AVERAGEIF($D$4:$D$13,$C45,H$4:H$13)</f>
        <v>89.333333333333329</v>
      </c>
      <c r="I29" s="49">
        <f t="shared" ref="I29:N29" si="20">AVERAGEIF($D$4:$D$13,$C45,I$4:I$13)</f>
        <v>83.5</v>
      </c>
      <c r="J29" s="49">
        <f t="shared" si="20"/>
        <v>89.25</v>
      </c>
      <c r="K29" s="49">
        <f t="shared" si="20"/>
        <v>87.333333333333329</v>
      </c>
      <c r="L29" s="49">
        <f t="shared" si="20"/>
        <v>85</v>
      </c>
      <c r="M29" s="49">
        <f t="shared" si="20"/>
        <v>60</v>
      </c>
      <c r="N29" s="50">
        <f t="shared" si="20"/>
        <v>73.75</v>
      </c>
      <c r="P29" s="283" t="s">
        <v>83</v>
      </c>
      <c r="Q29" s="284"/>
      <c r="R29" s="285"/>
    </row>
    <row r="30" spans="1:18" ht="13.5" thickBot="1">
      <c r="A30" s="297"/>
      <c r="B30" s="6"/>
      <c r="C30" s="6" t="str">
        <f>B46</f>
        <v>סטודנטיות</v>
      </c>
      <c r="D30" s="6">
        <f>COUNTIF(D4:D13,C46)</f>
        <v>6</v>
      </c>
      <c r="E30" s="6"/>
      <c r="F30" s="6"/>
      <c r="G30" s="6" t="s">
        <v>62</v>
      </c>
      <c r="H30" s="51">
        <f t="shared" ref="H30:N30" si="21">AVERAGEIF($D$4:$D$13,$C46,H$4:H$13)</f>
        <v>71.166666666666671</v>
      </c>
      <c r="I30" s="53">
        <f t="shared" si="21"/>
        <v>87.8</v>
      </c>
      <c r="J30" s="51">
        <f t="shared" si="21"/>
        <v>82.2</v>
      </c>
      <c r="K30" s="51">
        <f t="shared" si="21"/>
        <v>78.5</v>
      </c>
      <c r="L30" s="51">
        <f t="shared" si="21"/>
        <v>82.5</v>
      </c>
      <c r="M30" s="51">
        <f t="shared" si="21"/>
        <v>84.2</v>
      </c>
      <c r="N30" s="52">
        <f t="shared" si="21"/>
        <v>74.166666666666671</v>
      </c>
      <c r="P30" s="279" t="s">
        <v>172</v>
      </c>
      <c r="Q30" s="280"/>
      <c r="R30" s="62">
        <v>3434324</v>
      </c>
    </row>
    <row r="31" spans="1:18" ht="14.25" thickTop="1" thickBot="1">
      <c r="L31"/>
      <c r="M31"/>
      <c r="P31" s="279" t="s">
        <v>80</v>
      </c>
      <c r="Q31" s="280"/>
      <c r="R31" s="5" t="s">
        <v>1</v>
      </c>
    </row>
    <row r="32" spans="1:18" ht="14.25" thickTop="1" thickBot="1">
      <c r="A32" s="274" t="s">
        <v>48</v>
      </c>
      <c r="B32" s="22" t="s">
        <v>26</v>
      </c>
      <c r="C32" s="34">
        <v>0.1</v>
      </c>
      <c r="L32"/>
      <c r="M32"/>
      <c r="P32" s="281" t="s">
        <v>81</v>
      </c>
      <c r="Q32" s="282"/>
      <c r="R32" s="7" t="str">
        <f>INDEX(B4:R13,MATCH(R30,E4:E13,0),MATCH(R31,B3:R3,0))</f>
        <v>שחר</v>
      </c>
    </row>
    <row r="33" spans="1:18" ht="13.5" thickTop="1">
      <c r="A33" s="275"/>
      <c r="B33" s="4" t="s">
        <v>27</v>
      </c>
      <c r="C33" s="35">
        <v>0.1</v>
      </c>
      <c r="L33"/>
      <c r="M33"/>
    </row>
    <row r="34" spans="1:18" ht="13.5" thickBot="1">
      <c r="A34" s="275"/>
      <c r="B34" s="4" t="s">
        <v>28</v>
      </c>
      <c r="C34" s="35">
        <v>0.1</v>
      </c>
      <c r="L34"/>
      <c r="M34"/>
    </row>
    <row r="35" spans="1:18" ht="13.5" thickTop="1">
      <c r="A35" s="275"/>
      <c r="B35" s="4" t="s">
        <v>29</v>
      </c>
      <c r="C35" s="35">
        <v>0.3</v>
      </c>
      <c r="L35"/>
      <c r="M35"/>
      <c r="O35" s="283" t="s">
        <v>82</v>
      </c>
      <c r="P35" s="284"/>
      <c r="Q35" s="284"/>
      <c r="R35" s="285"/>
    </row>
    <row r="36" spans="1:18">
      <c r="A36" s="275"/>
      <c r="B36" s="4" t="s">
        <v>30</v>
      </c>
      <c r="C36" s="35">
        <v>0.4</v>
      </c>
      <c r="L36"/>
      <c r="M36"/>
      <c r="O36" s="286" t="s">
        <v>79</v>
      </c>
      <c r="P36" s="287"/>
      <c r="Q36" s="67">
        <v>123456789</v>
      </c>
      <c r="R36" s="68"/>
    </row>
    <row r="37" spans="1:18" ht="13.5" thickBot="1">
      <c r="A37" s="276"/>
      <c r="B37" s="6" t="s">
        <v>31</v>
      </c>
      <c r="C37" s="36">
        <f>SUM(C32:C36)</f>
        <v>1</v>
      </c>
      <c r="L37"/>
      <c r="M37"/>
      <c r="O37" s="63" t="s">
        <v>80</v>
      </c>
      <c r="P37" s="64"/>
      <c r="Q37" s="4" t="s">
        <v>12</v>
      </c>
      <c r="R37" s="25">
        <f>VLOOKUP($Q$36,$B$3:$R$13,MATCH(Q37,$B$3:$R$3,0),FALSE)</f>
        <v>91.333333333333329</v>
      </c>
    </row>
    <row r="38" spans="1:18" ht="12.75" customHeight="1" thickTop="1" thickBot="1">
      <c r="L38"/>
      <c r="M38"/>
      <c r="O38" s="63" t="s">
        <v>80</v>
      </c>
      <c r="P38" s="64"/>
      <c r="Q38" s="4" t="s">
        <v>13</v>
      </c>
      <c r="R38" s="5">
        <f>VLOOKUP($Q$36,$B$3:$R$13,MATCH(Q38,$B$3:$R$3,0),FALSE)</f>
        <v>99</v>
      </c>
    </row>
    <row r="39" spans="1:18" ht="13.5" thickTop="1">
      <c r="A39" s="274" t="s">
        <v>49</v>
      </c>
      <c r="B39" s="22"/>
      <c r="C39" s="22" t="s">
        <v>32</v>
      </c>
      <c r="D39" s="23" t="s">
        <v>33</v>
      </c>
      <c r="L39"/>
      <c r="O39" s="63" t="s">
        <v>80</v>
      </c>
      <c r="P39" s="64"/>
      <c r="Q39" s="4" t="s">
        <v>14</v>
      </c>
      <c r="R39" s="5">
        <f>VLOOKUP($Q$36,$B$3:$R$13,MATCH(Q39,$B$3:$R$3,0),FALSE)</f>
        <v>80</v>
      </c>
    </row>
    <row r="40" spans="1:18" ht="13.5" thickBot="1">
      <c r="A40" s="275"/>
      <c r="B40" s="4" t="s">
        <v>34</v>
      </c>
      <c r="C40" s="17">
        <v>0</v>
      </c>
      <c r="D40" s="25">
        <v>59.49</v>
      </c>
      <c r="E40" s="2"/>
      <c r="F40" s="2"/>
      <c r="G40" s="2"/>
      <c r="L40"/>
      <c r="O40" s="65" t="s">
        <v>80</v>
      </c>
      <c r="P40" s="66"/>
      <c r="Q40" s="6" t="s">
        <v>15</v>
      </c>
      <c r="R40" s="7">
        <f>VLOOKUP($Q$36,$B$3:$R$13,MATCH(Q40,$B$3:$R$3,0),FALSE)</f>
        <v>89</v>
      </c>
    </row>
    <row r="41" spans="1:18" ht="13.5" thickTop="1">
      <c r="A41" s="275"/>
      <c r="B41" s="4" t="s">
        <v>35</v>
      </c>
      <c r="C41" s="17">
        <v>59.5</v>
      </c>
      <c r="D41" s="25">
        <v>84.49</v>
      </c>
      <c r="E41" s="2"/>
      <c r="F41" s="2"/>
      <c r="G41" s="2"/>
      <c r="L41"/>
    </row>
    <row r="42" spans="1:18" ht="13.5" thickBot="1">
      <c r="A42" s="276"/>
      <c r="B42" s="6" t="s">
        <v>36</v>
      </c>
      <c r="C42" s="18">
        <f>84.5</f>
        <v>84.5</v>
      </c>
      <c r="D42" s="26">
        <v>100</v>
      </c>
      <c r="E42" s="46" t="s">
        <v>61</v>
      </c>
      <c r="F42" s="2"/>
      <c r="G42" s="2"/>
      <c r="L42"/>
    </row>
    <row r="43" spans="1:18" ht="14.25" thickTop="1" thickBot="1"/>
    <row r="44" spans="1:18" ht="13.5" thickTop="1">
      <c r="A44" s="274" t="s">
        <v>58</v>
      </c>
      <c r="B44" s="277" t="s">
        <v>8</v>
      </c>
      <c r="C44" s="278"/>
    </row>
    <row r="45" spans="1:18">
      <c r="A45" s="275"/>
      <c r="B45" s="4" t="s">
        <v>56</v>
      </c>
      <c r="C45" s="25" t="s">
        <v>17</v>
      </c>
    </row>
    <row r="46" spans="1:18" ht="13.5" thickBot="1">
      <c r="A46" s="276"/>
      <c r="B46" s="6" t="s">
        <v>57</v>
      </c>
      <c r="C46" s="26" t="s">
        <v>18</v>
      </c>
    </row>
    <row r="47" spans="1:18" ht="13.5" thickTop="1"/>
    <row r="49" spans="2:22" ht="13.5" thickBot="1"/>
    <row r="50" spans="2:22" ht="27" thickTop="1" thickBot="1">
      <c r="B50" s="28" t="s">
        <v>41</v>
      </c>
      <c r="C50" s="27" t="s">
        <v>1</v>
      </c>
      <c r="D50" s="27" t="s">
        <v>8</v>
      </c>
      <c r="E50" s="27" t="s">
        <v>51</v>
      </c>
      <c r="F50" s="27" t="s">
        <v>50</v>
      </c>
      <c r="G50" s="27" t="s">
        <v>54</v>
      </c>
      <c r="H50" s="27" t="s">
        <v>9</v>
      </c>
      <c r="I50" s="27" t="s">
        <v>10</v>
      </c>
      <c r="J50" s="27" t="s">
        <v>11</v>
      </c>
      <c r="K50" s="27" t="s">
        <v>12</v>
      </c>
      <c r="L50" s="27" t="s">
        <v>13</v>
      </c>
      <c r="M50" s="27" t="s">
        <v>14</v>
      </c>
      <c r="N50" s="27" t="s">
        <v>15</v>
      </c>
      <c r="O50" s="27" t="s">
        <v>16</v>
      </c>
      <c r="P50" s="27" t="s">
        <v>39</v>
      </c>
      <c r="Q50" s="40" t="s">
        <v>40</v>
      </c>
      <c r="R50" s="60" t="s">
        <v>59</v>
      </c>
      <c r="T50" s="58" t="s">
        <v>8</v>
      </c>
      <c r="V50" s="58"/>
    </row>
    <row r="51" spans="2:22">
      <c r="B51" s="30">
        <v>193878400</v>
      </c>
      <c r="C51" s="4" t="s">
        <v>3</v>
      </c>
      <c r="D51" s="4" t="s">
        <v>18</v>
      </c>
      <c r="E51" s="11">
        <v>9876544</v>
      </c>
      <c r="F51" s="14">
        <v>70000</v>
      </c>
      <c r="G51" s="38" t="s">
        <v>55</v>
      </c>
      <c r="H51" s="4">
        <v>81</v>
      </c>
      <c r="I51" s="4">
        <v>80</v>
      </c>
      <c r="J51" s="4">
        <v>82</v>
      </c>
      <c r="K51" s="17">
        <v>81</v>
      </c>
      <c r="L51" s="4">
        <v>81</v>
      </c>
      <c r="M51" s="4">
        <v>81</v>
      </c>
      <c r="N51" s="20">
        <v>81</v>
      </c>
      <c r="O51" s="4" t="s">
        <v>35</v>
      </c>
      <c r="P51" s="4" t="s">
        <v>71</v>
      </c>
      <c r="Q51" s="42" t="s">
        <v>72</v>
      </c>
      <c r="R51" s="5" t="s">
        <v>72</v>
      </c>
      <c r="T51" s="58" t="s">
        <v>18</v>
      </c>
      <c r="V51" s="58"/>
    </row>
    <row r="52" spans="2:22">
      <c r="B52" s="30">
        <v>244576280</v>
      </c>
      <c r="C52" s="4" t="s">
        <v>19</v>
      </c>
      <c r="D52" s="4" t="s">
        <v>18</v>
      </c>
      <c r="E52" s="11">
        <v>3252524</v>
      </c>
      <c r="F52" s="14">
        <v>44451</v>
      </c>
      <c r="G52" s="38" t="s">
        <v>0</v>
      </c>
      <c r="H52" s="4">
        <v>94</v>
      </c>
      <c r="I52" s="4">
        <v>100</v>
      </c>
      <c r="J52" s="4">
        <v>93</v>
      </c>
      <c r="K52" s="17">
        <v>95.666666666666671</v>
      </c>
      <c r="L52" s="4">
        <v>95</v>
      </c>
      <c r="M52" s="4">
        <v>100</v>
      </c>
      <c r="N52" s="20">
        <v>97</v>
      </c>
      <c r="O52" s="4" t="s">
        <v>36</v>
      </c>
      <c r="P52" s="4" t="s">
        <v>72</v>
      </c>
      <c r="Q52" s="42" t="s">
        <v>72</v>
      </c>
      <c r="R52" s="5" t="s">
        <v>72</v>
      </c>
    </row>
    <row r="53" spans="2:22">
      <c r="B53" s="30">
        <v>388923057</v>
      </c>
      <c r="C53" s="4" t="s">
        <v>5</v>
      </c>
      <c r="D53" s="4" t="s">
        <v>18</v>
      </c>
      <c r="E53" s="11">
        <v>8743644</v>
      </c>
      <c r="F53" s="14">
        <v>44141</v>
      </c>
      <c r="G53" s="38" t="s">
        <v>0</v>
      </c>
      <c r="H53" s="4">
        <v>60</v>
      </c>
      <c r="I53" s="4">
        <v>100</v>
      </c>
      <c r="J53" s="4">
        <v>80</v>
      </c>
      <c r="K53" s="17">
        <v>80</v>
      </c>
      <c r="L53" s="4">
        <v>40</v>
      </c>
      <c r="M53" s="4">
        <v>61</v>
      </c>
      <c r="N53" s="20">
        <v>60</v>
      </c>
      <c r="O53" s="4" t="s">
        <v>35</v>
      </c>
      <c r="P53" s="4" t="s">
        <v>71</v>
      </c>
      <c r="Q53" s="42" t="s">
        <v>72</v>
      </c>
      <c r="R53" s="5" t="s">
        <v>72</v>
      </c>
    </row>
    <row r="54" spans="2:22">
      <c r="B54" s="30">
        <v>658370843</v>
      </c>
      <c r="C54" s="4" t="s">
        <v>4</v>
      </c>
      <c r="D54" s="4" t="s">
        <v>18</v>
      </c>
      <c r="E54" s="11">
        <v>2118758</v>
      </c>
      <c r="F54" s="14">
        <v>55326</v>
      </c>
      <c r="G54" s="38" t="s">
        <v>55</v>
      </c>
      <c r="H54" s="4">
        <v>67</v>
      </c>
      <c r="I54" s="4">
        <v>99</v>
      </c>
      <c r="J54" s="4">
        <v>69</v>
      </c>
      <c r="K54" s="17">
        <v>78.333333333333329</v>
      </c>
      <c r="L54" s="4">
        <v>90</v>
      </c>
      <c r="M54" s="4">
        <v>85</v>
      </c>
      <c r="N54" s="20">
        <v>85</v>
      </c>
      <c r="O54" s="4" t="s">
        <v>36</v>
      </c>
      <c r="P54" s="4" t="s">
        <v>72</v>
      </c>
      <c r="Q54" s="42" t="s">
        <v>72</v>
      </c>
      <c r="R54" s="5" t="s">
        <v>72</v>
      </c>
    </row>
    <row r="55" spans="2:22">
      <c r="B55" s="30">
        <v>830998987</v>
      </c>
      <c r="C55" s="4" t="s">
        <v>5</v>
      </c>
      <c r="D55" s="4" t="s">
        <v>18</v>
      </c>
      <c r="E55" s="11">
        <v>3527439</v>
      </c>
      <c r="F55" s="14">
        <v>56324</v>
      </c>
      <c r="G55" s="38" t="s">
        <v>55</v>
      </c>
      <c r="H55" s="4">
        <v>80</v>
      </c>
      <c r="I55" s="4"/>
      <c r="J55" s="4">
        <v>87</v>
      </c>
      <c r="K55" s="17">
        <v>83.5</v>
      </c>
      <c r="L55" s="4">
        <v>90</v>
      </c>
      <c r="M55" s="4"/>
      <c r="N55" s="20">
        <v>44</v>
      </c>
      <c r="O55" s="4" t="s">
        <v>34</v>
      </c>
      <c r="P55" s="4" t="s">
        <v>71</v>
      </c>
      <c r="Q55" s="42" t="s">
        <v>72</v>
      </c>
      <c r="R55" s="5" t="s">
        <v>71</v>
      </c>
    </row>
    <row r="56" spans="2:22">
      <c r="B56" s="30">
        <v>983687692</v>
      </c>
      <c r="C56" s="4" t="s">
        <v>7</v>
      </c>
      <c r="D56" s="4" t="s">
        <v>18</v>
      </c>
      <c r="E56" s="11">
        <v>6347234</v>
      </c>
      <c r="F56" s="14">
        <v>55235</v>
      </c>
      <c r="G56" s="38" t="s">
        <v>0</v>
      </c>
      <c r="H56" s="4">
        <v>45</v>
      </c>
      <c r="I56" s="4">
        <v>60</v>
      </c>
      <c r="J56" s="4"/>
      <c r="K56" s="17">
        <v>52.5</v>
      </c>
      <c r="L56" s="4">
        <v>99</v>
      </c>
      <c r="M56" s="4">
        <v>94</v>
      </c>
      <c r="N56" s="20">
        <v>78</v>
      </c>
      <c r="O56" s="4" t="s">
        <v>35</v>
      </c>
      <c r="P56" s="4" t="s">
        <v>71</v>
      </c>
      <c r="Q56" s="42" t="s">
        <v>72</v>
      </c>
      <c r="R56" s="5" t="s">
        <v>72</v>
      </c>
    </row>
    <row r="57" spans="2:22" ht="13.5" thickBot="1"/>
    <row r="58" spans="2:22" ht="27" thickTop="1" thickBot="1">
      <c r="B58" s="28" t="s">
        <v>41</v>
      </c>
      <c r="C58" s="27" t="s">
        <v>1</v>
      </c>
      <c r="T58" s="58" t="s">
        <v>8</v>
      </c>
    </row>
    <row r="59" spans="2:22">
      <c r="B59" s="29">
        <v>123456789</v>
      </c>
      <c r="C59" s="8" t="s">
        <v>2</v>
      </c>
      <c r="T59" s="58" t="s">
        <v>17</v>
      </c>
    </row>
    <row r="60" spans="2:22">
      <c r="B60" s="30">
        <v>298754355</v>
      </c>
      <c r="C60" s="4" t="s">
        <v>6</v>
      </c>
    </row>
    <row r="61" spans="2:22">
      <c r="B61" s="30">
        <v>947465892</v>
      </c>
      <c r="C61" s="4" t="s">
        <v>19</v>
      </c>
    </row>
    <row r="62" spans="2:22" ht="13.5" thickBot="1">
      <c r="B62" s="31">
        <v>987654321</v>
      </c>
      <c r="C62" s="6" t="s">
        <v>42</v>
      </c>
    </row>
    <row r="63" spans="2:22" ht="14.25" thickTop="1" thickBot="1"/>
    <row r="64" spans="2:22" ht="14.25" thickTop="1" thickBot="1">
      <c r="B64" s="27" t="s">
        <v>1</v>
      </c>
      <c r="C64" s="27" t="s">
        <v>15</v>
      </c>
      <c r="T64" s="58" t="s">
        <v>8</v>
      </c>
      <c r="U64" t="s">
        <v>16</v>
      </c>
    </row>
    <row r="65" spans="2:21">
      <c r="B65" s="4" t="s">
        <v>19</v>
      </c>
      <c r="C65" s="20">
        <v>97</v>
      </c>
      <c r="T65" s="58" t="s">
        <v>18</v>
      </c>
      <c r="U65" s="58" t="s">
        <v>36</v>
      </c>
    </row>
    <row r="66" spans="2:21">
      <c r="B66" s="4" t="s">
        <v>4</v>
      </c>
      <c r="C66" s="20">
        <v>85</v>
      </c>
    </row>
    <row r="67" spans="2:21" ht="13.5" thickBot="1"/>
    <row r="68" spans="2:21" ht="14.25" thickTop="1" thickBot="1">
      <c r="B68" s="27" t="s">
        <v>1</v>
      </c>
      <c r="C68" s="27" t="s">
        <v>15</v>
      </c>
      <c r="T68" t="s">
        <v>15</v>
      </c>
    </row>
    <row r="69" spans="2:21">
      <c r="B69" s="8" t="s">
        <v>2</v>
      </c>
      <c r="C69" s="19">
        <v>89</v>
      </c>
      <c r="T69" s="58" t="s">
        <v>74</v>
      </c>
    </row>
    <row r="70" spans="2:21">
      <c r="B70" s="4" t="s">
        <v>19</v>
      </c>
      <c r="C70" s="20">
        <v>97</v>
      </c>
      <c r="T70" s="58" t="s">
        <v>75</v>
      </c>
    </row>
    <row r="71" spans="2:21">
      <c r="B71" s="4" t="s">
        <v>4</v>
      </c>
      <c r="C71" s="20">
        <v>85</v>
      </c>
    </row>
    <row r="72" spans="2:21">
      <c r="B72" s="4" t="s">
        <v>5</v>
      </c>
      <c r="C72" s="20">
        <v>44</v>
      </c>
    </row>
    <row r="73" spans="2:21" ht="13.5" thickBot="1"/>
    <row r="74" spans="2:21" ht="27" thickTop="1" thickBot="1">
      <c r="B74" s="27" t="s">
        <v>1</v>
      </c>
      <c r="C74" s="27" t="s">
        <v>14</v>
      </c>
      <c r="T74" s="27" t="s">
        <v>14</v>
      </c>
      <c r="U74" s="27" t="s">
        <v>14</v>
      </c>
    </row>
    <row r="75" spans="2:21">
      <c r="B75" s="8" t="s">
        <v>2</v>
      </c>
      <c r="C75" s="8">
        <v>80</v>
      </c>
      <c r="T75" s="58" t="s">
        <v>76</v>
      </c>
      <c r="U75" s="58" t="s">
        <v>77</v>
      </c>
    </row>
    <row r="76" spans="2:21">
      <c r="B76" s="4" t="s">
        <v>3</v>
      </c>
      <c r="C76" s="4">
        <v>81</v>
      </c>
    </row>
    <row r="77" spans="2:21">
      <c r="B77" s="4" t="s">
        <v>5</v>
      </c>
      <c r="C77" s="4">
        <v>61</v>
      </c>
    </row>
    <row r="78" spans="2:21">
      <c r="B78" s="4" t="s">
        <v>19</v>
      </c>
      <c r="C78" s="4">
        <v>65</v>
      </c>
    </row>
    <row r="79" spans="2:21" ht="13.5" thickBot="1"/>
    <row r="80" spans="2:21" ht="14.25" thickTop="1" thickBot="1">
      <c r="B80" s="27" t="s">
        <v>1</v>
      </c>
      <c r="T80" t="s">
        <v>1</v>
      </c>
    </row>
    <row r="81" spans="2:21">
      <c r="B81" s="4" t="s">
        <v>4</v>
      </c>
      <c r="T81" s="58" t="s">
        <v>78</v>
      </c>
    </row>
    <row r="82" spans="2:21" ht="13.5" thickBot="1">
      <c r="B82" s="6" t="s">
        <v>42</v>
      </c>
    </row>
    <row r="83" spans="2:21" ht="14.25" thickTop="1" thickBot="1"/>
    <row r="84" spans="2:21" ht="27" thickTop="1" thickBot="1">
      <c r="B84" s="27" t="s">
        <v>1</v>
      </c>
      <c r="C84" s="27" t="s">
        <v>8</v>
      </c>
      <c r="D84" s="27" t="s">
        <v>15</v>
      </c>
      <c r="T84" s="27" t="s">
        <v>8</v>
      </c>
      <c r="U84" s="27" t="s">
        <v>16</v>
      </c>
    </row>
    <row r="85" spans="2:21">
      <c r="B85" s="8" t="s">
        <v>2</v>
      </c>
      <c r="C85" s="8" t="s">
        <v>17</v>
      </c>
      <c r="D85" s="19">
        <v>89</v>
      </c>
      <c r="T85" s="58" t="s">
        <v>18</v>
      </c>
    </row>
    <row r="86" spans="2:21">
      <c r="B86" s="4" t="s">
        <v>3</v>
      </c>
      <c r="C86" s="4" t="s">
        <v>18</v>
      </c>
      <c r="D86" s="20">
        <v>81</v>
      </c>
      <c r="T86" s="58" t="s">
        <v>17</v>
      </c>
      <c r="U86" s="58" t="s">
        <v>36</v>
      </c>
    </row>
    <row r="87" spans="2:21">
      <c r="B87" s="4" t="s">
        <v>19</v>
      </c>
      <c r="C87" s="4" t="s">
        <v>18</v>
      </c>
      <c r="D87" s="20">
        <v>97</v>
      </c>
    </row>
    <row r="88" spans="2:21">
      <c r="B88" s="4" t="s">
        <v>5</v>
      </c>
      <c r="C88" s="4" t="s">
        <v>18</v>
      </c>
      <c r="D88" s="20">
        <v>60</v>
      </c>
    </row>
    <row r="89" spans="2:21">
      <c r="B89" s="4" t="s">
        <v>4</v>
      </c>
      <c r="C89" s="4" t="s">
        <v>18</v>
      </c>
      <c r="D89" s="20">
        <v>85</v>
      </c>
    </row>
    <row r="90" spans="2:21">
      <c r="B90" s="4" t="s">
        <v>5</v>
      </c>
      <c r="C90" s="4" t="s">
        <v>18</v>
      </c>
      <c r="D90" s="20">
        <v>44</v>
      </c>
    </row>
    <row r="91" spans="2:21">
      <c r="B91" s="4" t="s">
        <v>7</v>
      </c>
      <c r="C91" s="4" t="s">
        <v>18</v>
      </c>
      <c r="D91" s="20">
        <v>78</v>
      </c>
    </row>
    <row r="92" spans="2:21" ht="13.5" thickBot="1"/>
    <row r="93" spans="2:21" ht="14.25" thickTop="1" thickBot="1">
      <c r="B93" s="27" t="s">
        <v>1</v>
      </c>
      <c r="C93" s="27" t="s">
        <v>15</v>
      </c>
    </row>
    <row r="94" spans="2:21">
      <c r="B94" s="8" t="s">
        <v>2</v>
      </c>
      <c r="C94" s="19">
        <v>89</v>
      </c>
      <c r="T94" t="b">
        <f>N4&gt;$N$15</f>
        <v>1</v>
      </c>
    </row>
    <row r="95" spans="2:21">
      <c r="B95" s="4" t="s">
        <v>3</v>
      </c>
      <c r="C95" s="20">
        <v>81</v>
      </c>
    </row>
    <row r="96" spans="2:21">
      <c r="B96" s="4" t="s">
        <v>19</v>
      </c>
      <c r="C96" s="20">
        <v>97</v>
      </c>
    </row>
    <row r="97" spans="2:20">
      <c r="B97" s="4" t="s">
        <v>4</v>
      </c>
      <c r="C97" s="20">
        <v>85</v>
      </c>
    </row>
    <row r="98" spans="2:20">
      <c r="B98" s="4" t="s">
        <v>7</v>
      </c>
      <c r="C98" s="20">
        <v>78</v>
      </c>
    </row>
    <row r="99" spans="2:20" ht="13.5" thickBot="1">
      <c r="B99" s="6" t="s">
        <v>42</v>
      </c>
      <c r="C99" s="21">
        <v>76</v>
      </c>
    </row>
    <row r="100" spans="2:20" ht="14.25" thickTop="1" thickBot="1"/>
    <row r="101" spans="2:20" ht="27" thickTop="1" thickBot="1">
      <c r="B101" s="27" t="s">
        <v>1</v>
      </c>
      <c r="C101" s="27" t="s">
        <v>15</v>
      </c>
      <c r="T101" s="27" t="s">
        <v>15</v>
      </c>
    </row>
    <row r="102" spans="2:20">
      <c r="B102" s="8" t="s">
        <v>2</v>
      </c>
      <c r="C102" s="19">
        <v>89</v>
      </c>
      <c r="T102" s="58" t="str">
        <f>"&gt;"&amp;AVERAGE(N4:N13)</f>
        <v>&gt;74</v>
      </c>
    </row>
    <row r="103" spans="2:20">
      <c r="B103" s="4" t="s">
        <v>3</v>
      </c>
      <c r="C103" s="20">
        <v>81</v>
      </c>
    </row>
    <row r="104" spans="2:20">
      <c r="B104" s="4" t="s">
        <v>19</v>
      </c>
      <c r="C104" s="20">
        <v>97</v>
      </c>
    </row>
    <row r="105" spans="2:20">
      <c r="B105" s="4" t="s">
        <v>4</v>
      </c>
      <c r="C105" s="20">
        <v>85</v>
      </c>
    </row>
    <row r="106" spans="2:20">
      <c r="B106" s="4" t="s">
        <v>7</v>
      </c>
      <c r="C106" s="20">
        <v>78</v>
      </c>
    </row>
    <row r="107" spans="2:20" ht="13.5" thickBot="1">
      <c r="B107" s="6" t="s">
        <v>42</v>
      </c>
      <c r="C107" s="21">
        <v>76</v>
      </c>
    </row>
    <row r="108" spans="2:20" ht="13.5" thickTop="1"/>
  </sheetData>
  <sortState ref="B4:R13">
    <sortCondition ref="B4:B13"/>
  </sortState>
  <mergeCells count="19">
    <mergeCell ref="A44:A46"/>
    <mergeCell ref="B44:C44"/>
    <mergeCell ref="A32:A37"/>
    <mergeCell ref="A39:A42"/>
    <mergeCell ref="O36:P36"/>
    <mergeCell ref="P32:Q32"/>
    <mergeCell ref="P31:Q31"/>
    <mergeCell ref="O35:R35"/>
    <mergeCell ref="P23:R23"/>
    <mergeCell ref="P24:R24"/>
    <mergeCell ref="P26:R26"/>
    <mergeCell ref="P27:R27"/>
    <mergeCell ref="A1:R1"/>
    <mergeCell ref="A3:A13"/>
    <mergeCell ref="T3:W3"/>
    <mergeCell ref="A15:A30"/>
    <mergeCell ref="P15:R15"/>
    <mergeCell ref="P29:R29"/>
    <mergeCell ref="P30:Q30"/>
  </mergeCells>
  <conditionalFormatting sqref="B4:B13">
    <cfRule type="duplicateValues" dxfId="19" priority="12"/>
  </conditionalFormatting>
  <conditionalFormatting sqref="N4:N13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3Symbols2">
        <cfvo type="percent" val="0"/>
        <cfvo type="percent" val="33"/>
        <cfvo type="percent" val="67"/>
      </iconSet>
    </cfRule>
    <cfRule type="dataBar" priority="11">
      <dataBar>
        <cfvo type="min"/>
        <cfvo type="max"/>
        <color rgb="FF008AEF"/>
      </dataBar>
    </cfRule>
  </conditionalFormatting>
  <conditionalFormatting sqref="O4:O13">
    <cfRule type="cellIs" dxfId="18" priority="6" operator="equal">
      <formula>$B$40</formula>
    </cfRule>
    <cfRule type="cellIs" dxfId="17" priority="7" operator="equal">
      <formula>$B$41</formula>
    </cfRule>
    <cfRule type="cellIs" dxfId="16" priority="8" operator="equal">
      <formula>$B$42</formula>
    </cfRule>
  </conditionalFormatting>
  <conditionalFormatting sqref="B8">
    <cfRule type="duplicateValues" dxfId="15" priority="4"/>
  </conditionalFormatting>
  <dataValidations count="4">
    <dataValidation type="list" allowBlank="1" showInputMessage="1" showErrorMessage="1" sqref="R31 Q37:Q40">
      <formula1>$C$3:$R$3</formula1>
    </dataValidation>
    <dataValidation type="list" allowBlank="1" showInputMessage="1" showErrorMessage="1" sqref="Q36">
      <formula1>$B$4:$B$13</formula1>
    </dataValidation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rightToLeft="1" workbookViewId="0">
      <selection sqref="A1:G1"/>
    </sheetView>
  </sheetViews>
  <sheetFormatPr defaultRowHeight="12.75"/>
  <cols>
    <col min="1" max="1" width="10.5703125" bestFit="1" customWidth="1"/>
    <col min="4" max="7" width="9.7109375" bestFit="1" customWidth="1"/>
  </cols>
  <sheetData>
    <row r="1" spans="1:7" ht="20.25" thickBot="1">
      <c r="A1" s="309" t="s">
        <v>168</v>
      </c>
      <c r="B1" s="309"/>
      <c r="C1" s="309"/>
      <c r="D1" s="309"/>
      <c r="E1" s="309"/>
      <c r="F1" s="309"/>
      <c r="G1" s="309"/>
    </row>
    <row r="2" spans="1:7" ht="14.25" thickTop="1" thickBot="1"/>
    <row r="3" spans="1:7" ht="26.25" thickTop="1">
      <c r="A3" s="159" t="s">
        <v>41</v>
      </c>
      <c r="B3" s="160" t="s">
        <v>1</v>
      </c>
      <c r="C3" s="160" t="s">
        <v>8</v>
      </c>
      <c r="D3" s="160" t="s">
        <v>163</v>
      </c>
      <c r="E3" s="160" t="s">
        <v>164</v>
      </c>
      <c r="F3" s="160" t="s">
        <v>165</v>
      </c>
      <c r="G3" s="161" t="s">
        <v>166</v>
      </c>
    </row>
    <row r="4" spans="1:7">
      <c r="A4" s="162">
        <v>830998987</v>
      </c>
      <c r="B4" s="4" t="s">
        <v>5</v>
      </c>
      <c r="C4" s="4" t="s">
        <v>18</v>
      </c>
      <c r="D4" s="168">
        <v>4300</v>
      </c>
      <c r="E4" s="169"/>
      <c r="F4" s="173"/>
      <c r="G4" s="174"/>
    </row>
    <row r="5" spans="1:7">
      <c r="A5" s="162">
        <v>298754355</v>
      </c>
      <c r="B5" s="4" t="s">
        <v>6</v>
      </c>
      <c r="C5" s="4" t="s">
        <v>17</v>
      </c>
      <c r="D5" s="168">
        <v>5280</v>
      </c>
      <c r="E5" s="169"/>
      <c r="F5" s="173"/>
      <c r="G5" s="174"/>
    </row>
    <row r="6" spans="1:7">
      <c r="A6" s="162">
        <v>388923057</v>
      </c>
      <c r="B6" s="4" t="s">
        <v>5</v>
      </c>
      <c r="C6" s="4" t="s">
        <v>18</v>
      </c>
      <c r="D6" s="168">
        <v>6280</v>
      </c>
      <c r="E6" s="169"/>
      <c r="F6" s="173"/>
      <c r="G6" s="174"/>
    </row>
    <row r="7" spans="1:7">
      <c r="A7" s="162">
        <v>947465892</v>
      </c>
      <c r="B7" s="4" t="s">
        <v>19</v>
      </c>
      <c r="C7" s="4" t="s">
        <v>17</v>
      </c>
      <c r="D7" s="168">
        <v>9000</v>
      </c>
      <c r="E7" s="169"/>
      <c r="F7" s="173"/>
      <c r="G7" s="174"/>
    </row>
    <row r="8" spans="1:7">
      <c r="A8" s="162">
        <v>987654321</v>
      </c>
      <c r="B8" s="4" t="s">
        <v>42</v>
      </c>
      <c r="C8" s="4" t="s">
        <v>17</v>
      </c>
      <c r="D8" s="168">
        <v>45000</v>
      </c>
      <c r="E8" s="169"/>
      <c r="F8" s="173"/>
      <c r="G8" s="174"/>
    </row>
    <row r="9" spans="1:7">
      <c r="A9" s="162">
        <v>983687692</v>
      </c>
      <c r="B9" s="4" t="s">
        <v>7</v>
      </c>
      <c r="C9" s="4" t="s">
        <v>18</v>
      </c>
      <c r="D9" s="168">
        <v>25000</v>
      </c>
      <c r="E9" s="169"/>
      <c r="F9" s="173"/>
      <c r="G9" s="174"/>
    </row>
    <row r="10" spans="1:7">
      <c r="A10" s="162">
        <v>193878400</v>
      </c>
      <c r="B10" s="4" t="s">
        <v>3</v>
      </c>
      <c r="C10" s="4" t="s">
        <v>18</v>
      </c>
      <c r="D10" s="168">
        <v>6000</v>
      </c>
      <c r="E10" s="169"/>
      <c r="F10" s="173"/>
      <c r="G10" s="174"/>
    </row>
    <row r="11" spans="1:7">
      <c r="A11" s="162">
        <v>658370843</v>
      </c>
      <c r="B11" s="4" t="s">
        <v>4</v>
      </c>
      <c r="C11" s="4" t="s">
        <v>18</v>
      </c>
      <c r="D11" s="168">
        <v>12000</v>
      </c>
      <c r="E11" s="169"/>
      <c r="F11" s="173"/>
      <c r="G11" s="174"/>
    </row>
    <row r="12" spans="1:7">
      <c r="A12" s="162">
        <v>123456789</v>
      </c>
      <c r="B12" s="4" t="s">
        <v>2</v>
      </c>
      <c r="C12" s="4" t="s">
        <v>17</v>
      </c>
      <c r="D12" s="168">
        <v>4500</v>
      </c>
      <c r="E12" s="169"/>
      <c r="F12" s="173"/>
      <c r="G12" s="174"/>
    </row>
    <row r="13" spans="1:7" ht="13.5" thickBot="1">
      <c r="A13" s="163">
        <v>244576280</v>
      </c>
      <c r="B13" s="6" t="s">
        <v>19</v>
      </c>
      <c r="C13" s="6" t="s">
        <v>18</v>
      </c>
      <c r="D13" s="171">
        <v>120000</v>
      </c>
      <c r="E13" s="172"/>
      <c r="F13" s="175"/>
      <c r="G13" s="176"/>
    </row>
    <row r="14" spans="1:7" ht="13.5" thickTop="1"/>
    <row r="15" spans="1:7" ht="17.25" thickBot="1">
      <c r="A15" s="310" t="s">
        <v>169</v>
      </c>
      <c r="B15" s="310"/>
      <c r="C15" s="310"/>
      <c r="D15" s="310"/>
      <c r="E15" s="310"/>
      <c r="F15" s="310"/>
    </row>
    <row r="16" spans="1:7" ht="14.25" thickTop="1" thickBot="1"/>
    <row r="17" spans="1:7" ht="13.5" thickTop="1">
      <c r="A17" s="283" t="s">
        <v>158</v>
      </c>
      <c r="B17" s="284"/>
      <c r="C17" s="277" t="s">
        <v>162</v>
      </c>
      <c r="D17" s="308"/>
      <c r="E17" s="308"/>
      <c r="F17" s="278"/>
    </row>
    <row r="18" spans="1:7" ht="39" customHeight="1">
      <c r="A18" s="164" t="s">
        <v>173</v>
      </c>
      <c r="B18" s="165" t="s">
        <v>160</v>
      </c>
      <c r="C18" s="165" t="s">
        <v>159</v>
      </c>
      <c r="D18" s="165" t="s">
        <v>167</v>
      </c>
      <c r="E18" s="165" t="s">
        <v>157</v>
      </c>
      <c r="F18" s="166" t="s">
        <v>161</v>
      </c>
    </row>
    <row r="19" spans="1:7">
      <c r="A19" s="167">
        <v>0</v>
      </c>
      <c r="B19" s="168">
        <v>5280</v>
      </c>
      <c r="C19" s="169">
        <v>0.1</v>
      </c>
      <c r="D19" s="173"/>
      <c r="E19" s="173"/>
      <c r="F19" s="174"/>
    </row>
    <row r="20" spans="1:7">
      <c r="A20" s="167">
        <f>B19+0.00001</f>
        <v>5280.0000099999997</v>
      </c>
      <c r="B20" s="168">
        <v>9010</v>
      </c>
      <c r="C20" s="169">
        <v>0.14000000000000001</v>
      </c>
      <c r="D20" s="173"/>
      <c r="E20" s="173"/>
      <c r="F20" s="174"/>
      <c r="G20" s="158"/>
    </row>
    <row r="21" spans="1:7">
      <c r="A21" s="167">
        <f t="shared" ref="A21:A24" si="0">B20+0.00001</f>
        <v>9010.0000099999997</v>
      </c>
      <c r="B21" s="168">
        <v>14000</v>
      </c>
      <c r="C21" s="169">
        <v>0.21</v>
      </c>
      <c r="D21" s="173"/>
      <c r="E21" s="173"/>
      <c r="F21" s="174"/>
    </row>
    <row r="22" spans="1:7">
      <c r="A22" s="167">
        <f t="shared" si="0"/>
        <v>14000.00001</v>
      </c>
      <c r="B22" s="168">
        <v>20000</v>
      </c>
      <c r="C22" s="169">
        <v>0.31</v>
      </c>
      <c r="D22" s="173"/>
      <c r="E22" s="173"/>
      <c r="F22" s="174"/>
    </row>
    <row r="23" spans="1:7">
      <c r="A23" s="167">
        <f t="shared" si="0"/>
        <v>20000.00001</v>
      </c>
      <c r="B23" s="168">
        <v>41380</v>
      </c>
      <c r="C23" s="169">
        <v>0.34</v>
      </c>
      <c r="D23" s="173"/>
      <c r="E23" s="173"/>
      <c r="F23" s="174"/>
    </row>
    <row r="24" spans="1:7" ht="13.5" thickBot="1">
      <c r="A24" s="170">
        <f t="shared" si="0"/>
        <v>41380.000010000003</v>
      </c>
      <c r="B24" s="171"/>
      <c r="C24" s="172">
        <v>0.48</v>
      </c>
      <c r="D24" s="175"/>
      <c r="E24" s="171"/>
      <c r="F24" s="7"/>
    </row>
    <row r="25" spans="1:7" ht="13.5" thickTop="1"/>
  </sheetData>
  <mergeCells count="4">
    <mergeCell ref="A1:G1"/>
    <mergeCell ref="A15:F15"/>
    <mergeCell ref="A17:B17"/>
    <mergeCell ref="C17:F17"/>
  </mergeCells>
  <conditionalFormatting sqref="A4:A13">
    <cfRule type="duplicateValues" dxfId="14" priority="2"/>
  </conditionalFormatting>
  <conditionalFormatting sqref="A8">
    <cfRule type="duplicateValues" dxfId="13" priority="1"/>
  </conditionalFormatting>
  <dataValidations disablePrompts="1" count="1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4:C13">
      <formula1>$B$30:$B$31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rightToLeft="1" workbookViewId="0">
      <selection sqref="A1:G1"/>
    </sheetView>
  </sheetViews>
  <sheetFormatPr defaultRowHeight="12.75"/>
  <cols>
    <col min="1" max="1" width="10.5703125" bestFit="1" customWidth="1"/>
    <col min="4" max="7" width="9.7109375" bestFit="1" customWidth="1"/>
  </cols>
  <sheetData>
    <row r="1" spans="1:7" ht="20.25" thickBot="1">
      <c r="A1" s="309" t="s">
        <v>168</v>
      </c>
      <c r="B1" s="309"/>
      <c r="C1" s="309"/>
      <c r="D1" s="309"/>
      <c r="E1" s="309"/>
      <c r="F1" s="309"/>
      <c r="G1" s="309"/>
    </row>
    <row r="2" spans="1:7" ht="14.25" thickTop="1" thickBot="1"/>
    <row r="3" spans="1:7" ht="26.25" thickTop="1">
      <c r="A3" s="159" t="s">
        <v>41</v>
      </c>
      <c r="B3" s="160" t="s">
        <v>1</v>
      </c>
      <c r="C3" s="160" t="s">
        <v>8</v>
      </c>
      <c r="D3" s="160" t="s">
        <v>163</v>
      </c>
      <c r="E3" s="160" t="s">
        <v>164</v>
      </c>
      <c r="F3" s="160" t="s">
        <v>165</v>
      </c>
      <c r="G3" s="161" t="s">
        <v>166</v>
      </c>
    </row>
    <row r="4" spans="1:7">
      <c r="A4" s="162">
        <v>830998987</v>
      </c>
      <c r="B4" s="4" t="s">
        <v>5</v>
      </c>
      <c r="C4" s="4" t="s">
        <v>18</v>
      </c>
      <c r="D4" s="168">
        <v>4300</v>
      </c>
      <c r="E4" s="169">
        <f>VLOOKUP(D4,$A$19:$F$24,3,1)</f>
        <v>0.1</v>
      </c>
      <c r="F4" s="173">
        <f>VLOOKUP(D4,$A$19:$F$24,4,1)+VLOOKUP(D4,$A$19:$F$24,3,1)*(D4-VLOOKUP(D4,$A$19:$F$24,1,1))</f>
        <v>430</v>
      </c>
      <c r="G4" s="174">
        <f>D4-F4</f>
        <v>3870</v>
      </c>
    </row>
    <row r="5" spans="1:7">
      <c r="A5" s="162">
        <v>298754355</v>
      </c>
      <c r="B5" s="4" t="s">
        <v>6</v>
      </c>
      <c r="C5" s="4" t="s">
        <v>17</v>
      </c>
      <c r="D5" s="168">
        <v>5280</v>
      </c>
      <c r="E5" s="169">
        <f t="shared" ref="E5:E13" si="0">VLOOKUP(D5,$A$19:$F$24,3,1)</f>
        <v>0.1</v>
      </c>
      <c r="F5" s="173">
        <f t="shared" ref="F5:F13" si="1">VLOOKUP(D5,$A$19:$F$24,4,1)+VLOOKUP(D5,$A$19:$F$24,3,1)*(D5-VLOOKUP(D5,$A$19:$F$24,1,1))</f>
        <v>528</v>
      </c>
      <c r="G5" s="174">
        <f t="shared" ref="G5:G13" si="2">D5-F5</f>
        <v>4752</v>
      </c>
    </row>
    <row r="6" spans="1:7">
      <c r="A6" s="162">
        <v>388923057</v>
      </c>
      <c r="B6" s="4" t="s">
        <v>5</v>
      </c>
      <c r="C6" s="4" t="s">
        <v>18</v>
      </c>
      <c r="D6" s="168">
        <v>6280</v>
      </c>
      <c r="E6" s="169">
        <f t="shared" si="0"/>
        <v>0.14000000000000001</v>
      </c>
      <c r="F6" s="173">
        <f t="shared" si="1"/>
        <v>667.99999860000003</v>
      </c>
      <c r="G6" s="174">
        <f t="shared" si="2"/>
        <v>5612.0000013999997</v>
      </c>
    </row>
    <row r="7" spans="1:7">
      <c r="A7" s="162">
        <v>947465892</v>
      </c>
      <c r="B7" s="4" t="s">
        <v>19</v>
      </c>
      <c r="C7" s="4" t="s">
        <v>17</v>
      </c>
      <c r="D7" s="168">
        <v>9000</v>
      </c>
      <c r="E7" s="169">
        <f t="shared" si="0"/>
        <v>0.14000000000000001</v>
      </c>
      <c r="F7" s="173">
        <f t="shared" si="1"/>
        <v>1048.7999986</v>
      </c>
      <c r="G7" s="174">
        <f t="shared" si="2"/>
        <v>7951.2000014000005</v>
      </c>
    </row>
    <row r="8" spans="1:7">
      <c r="A8" s="162">
        <v>987654321</v>
      </c>
      <c r="B8" s="4" t="s">
        <v>42</v>
      </c>
      <c r="C8" s="4" t="s">
        <v>17</v>
      </c>
      <c r="D8" s="168">
        <v>45000</v>
      </c>
      <c r="E8" s="169">
        <f t="shared" si="0"/>
        <v>0.48</v>
      </c>
      <c r="F8" s="173">
        <f t="shared" si="1"/>
        <v>12964.899985199998</v>
      </c>
      <c r="G8" s="174">
        <f t="shared" si="2"/>
        <v>32035.100014800002</v>
      </c>
    </row>
    <row r="9" spans="1:7">
      <c r="A9" s="162">
        <v>983687692</v>
      </c>
      <c r="B9" s="4" t="s">
        <v>7</v>
      </c>
      <c r="C9" s="4" t="s">
        <v>18</v>
      </c>
      <c r="D9" s="168">
        <v>25000</v>
      </c>
      <c r="E9" s="169">
        <f t="shared" si="0"/>
        <v>0.34</v>
      </c>
      <c r="F9" s="173">
        <f t="shared" si="1"/>
        <v>5658.0999900000006</v>
      </c>
      <c r="G9" s="174">
        <f t="shared" si="2"/>
        <v>19341.900009999998</v>
      </c>
    </row>
    <row r="10" spans="1:7">
      <c r="A10" s="162">
        <v>193878400</v>
      </c>
      <c r="B10" s="4" t="s">
        <v>3</v>
      </c>
      <c r="C10" s="4" t="s">
        <v>18</v>
      </c>
      <c r="D10" s="168">
        <v>6000</v>
      </c>
      <c r="E10" s="169">
        <f t="shared" si="0"/>
        <v>0.14000000000000001</v>
      </c>
      <c r="F10" s="173">
        <f t="shared" si="1"/>
        <v>628.79999860000009</v>
      </c>
      <c r="G10" s="174">
        <f t="shared" si="2"/>
        <v>5371.2000013999996</v>
      </c>
    </row>
    <row r="11" spans="1:7">
      <c r="A11" s="162">
        <v>658370843</v>
      </c>
      <c r="B11" s="4" t="s">
        <v>4</v>
      </c>
      <c r="C11" s="4" t="s">
        <v>18</v>
      </c>
      <c r="D11" s="168">
        <v>12000</v>
      </c>
      <c r="E11" s="169">
        <f t="shared" si="0"/>
        <v>0.21</v>
      </c>
      <c r="F11" s="173">
        <f t="shared" si="1"/>
        <v>1678.0999965000001</v>
      </c>
      <c r="G11" s="174">
        <f t="shared" si="2"/>
        <v>10321.900003499999</v>
      </c>
    </row>
    <row r="12" spans="1:7">
      <c r="A12" s="162">
        <v>123456789</v>
      </c>
      <c r="B12" s="4" t="s">
        <v>2</v>
      </c>
      <c r="C12" s="4" t="s">
        <v>17</v>
      </c>
      <c r="D12" s="168">
        <v>4500</v>
      </c>
      <c r="E12" s="169">
        <f t="shared" si="0"/>
        <v>0.1</v>
      </c>
      <c r="F12" s="173">
        <f t="shared" si="1"/>
        <v>450</v>
      </c>
      <c r="G12" s="174">
        <f t="shared" si="2"/>
        <v>4050</v>
      </c>
    </row>
    <row r="13" spans="1:7" ht="13.5" thickBot="1">
      <c r="A13" s="163">
        <v>244576280</v>
      </c>
      <c r="B13" s="6" t="s">
        <v>19</v>
      </c>
      <c r="C13" s="6" t="s">
        <v>18</v>
      </c>
      <c r="D13" s="171">
        <v>120000</v>
      </c>
      <c r="E13" s="172">
        <f t="shared" si="0"/>
        <v>0.48</v>
      </c>
      <c r="F13" s="175">
        <f t="shared" si="1"/>
        <v>48964.899985199998</v>
      </c>
      <c r="G13" s="176">
        <f t="shared" si="2"/>
        <v>71035.100014800002</v>
      </c>
    </row>
    <row r="14" spans="1:7" ht="13.5" thickTop="1"/>
    <row r="15" spans="1:7" ht="17.25" thickBot="1">
      <c r="A15" s="310" t="s">
        <v>169</v>
      </c>
      <c r="B15" s="310"/>
      <c r="C15" s="310"/>
      <c r="D15" s="310"/>
      <c r="E15" s="310"/>
      <c r="F15" s="310"/>
    </row>
    <row r="16" spans="1:7" ht="14.25" thickTop="1" thickBot="1"/>
    <row r="17" spans="1:7" ht="13.5" thickTop="1">
      <c r="A17" s="283" t="s">
        <v>158</v>
      </c>
      <c r="B17" s="284"/>
      <c r="C17" s="277" t="s">
        <v>162</v>
      </c>
      <c r="D17" s="308"/>
      <c r="E17" s="308"/>
      <c r="F17" s="278"/>
    </row>
    <row r="18" spans="1:7" ht="39" customHeight="1">
      <c r="A18" s="164" t="s">
        <v>173</v>
      </c>
      <c r="B18" s="165" t="s">
        <v>160</v>
      </c>
      <c r="C18" s="165" t="s">
        <v>159</v>
      </c>
      <c r="D18" s="165" t="s">
        <v>167</v>
      </c>
      <c r="E18" s="165" t="s">
        <v>157</v>
      </c>
      <c r="F18" s="166" t="s">
        <v>161</v>
      </c>
    </row>
    <row r="19" spans="1:7">
      <c r="A19" s="167">
        <v>0</v>
      </c>
      <c r="B19" s="168">
        <v>5280</v>
      </c>
      <c r="C19" s="169">
        <v>0.1</v>
      </c>
      <c r="D19" s="173">
        <v>0</v>
      </c>
      <c r="E19" s="173">
        <f>(B19-A19)*C19</f>
        <v>528</v>
      </c>
      <c r="F19" s="174">
        <f>SUM($E$19:E19)</f>
        <v>528</v>
      </c>
    </row>
    <row r="20" spans="1:7">
      <c r="A20" s="167">
        <f>B19+0.00001</f>
        <v>5280.0000099999997</v>
      </c>
      <c r="B20" s="168">
        <v>9010</v>
      </c>
      <c r="C20" s="169">
        <v>0.14000000000000001</v>
      </c>
      <c r="D20" s="173">
        <f>F19</f>
        <v>528</v>
      </c>
      <c r="E20" s="173">
        <f t="shared" ref="E20:E23" si="3">(B20-A20)*C20</f>
        <v>522.19999860000007</v>
      </c>
      <c r="F20" s="174">
        <f>SUM($E$19:E20)</f>
        <v>1050.1999986000001</v>
      </c>
      <c r="G20" s="158"/>
    </row>
    <row r="21" spans="1:7">
      <c r="A21" s="167">
        <f t="shared" ref="A21:A24" si="4">B20+0.00001</f>
        <v>9010.0000099999997</v>
      </c>
      <c r="B21" s="168">
        <v>14000</v>
      </c>
      <c r="C21" s="169">
        <v>0.21</v>
      </c>
      <c r="D21" s="173">
        <f t="shared" ref="D21:D24" si="5">F20</f>
        <v>1050.1999986000001</v>
      </c>
      <c r="E21" s="173">
        <f t="shared" si="3"/>
        <v>1047.8999979</v>
      </c>
      <c r="F21" s="174">
        <f>SUM($E$19:E21)</f>
        <v>2098.0999965000001</v>
      </c>
    </row>
    <row r="22" spans="1:7">
      <c r="A22" s="167">
        <f t="shared" si="4"/>
        <v>14000.00001</v>
      </c>
      <c r="B22" s="168">
        <v>20000</v>
      </c>
      <c r="C22" s="169">
        <v>0.31</v>
      </c>
      <c r="D22" s="173">
        <f t="shared" si="5"/>
        <v>2098.0999965000001</v>
      </c>
      <c r="E22" s="173">
        <f t="shared" si="3"/>
        <v>1859.9999969</v>
      </c>
      <c r="F22" s="174">
        <f>SUM($E$19:E22)</f>
        <v>3958.0999934000001</v>
      </c>
    </row>
    <row r="23" spans="1:7">
      <c r="A23" s="167">
        <f t="shared" si="4"/>
        <v>20000.00001</v>
      </c>
      <c r="B23" s="168">
        <v>41380</v>
      </c>
      <c r="C23" s="169">
        <v>0.34</v>
      </c>
      <c r="D23" s="173">
        <f t="shared" si="5"/>
        <v>3958.0999934000001</v>
      </c>
      <c r="E23" s="173">
        <f t="shared" si="3"/>
        <v>7269.1999966000003</v>
      </c>
      <c r="F23" s="174">
        <f>SUM($E$19:E23)</f>
        <v>11227.29999</v>
      </c>
    </row>
    <row r="24" spans="1:7" ht="13.5" thickBot="1">
      <c r="A24" s="170">
        <f t="shared" si="4"/>
        <v>41380.000010000003</v>
      </c>
      <c r="B24" s="171"/>
      <c r="C24" s="172">
        <v>0.48</v>
      </c>
      <c r="D24" s="175">
        <f t="shared" si="5"/>
        <v>11227.29999</v>
      </c>
      <c r="E24" s="171"/>
      <c r="F24" s="7"/>
    </row>
    <row r="25" spans="1:7" ht="13.5" thickTop="1"/>
  </sheetData>
  <mergeCells count="4">
    <mergeCell ref="A1:G1"/>
    <mergeCell ref="A15:F15"/>
    <mergeCell ref="A17:B17"/>
    <mergeCell ref="C17:F17"/>
  </mergeCells>
  <conditionalFormatting sqref="A4:A13">
    <cfRule type="duplicateValues" dxfId="12" priority="2"/>
  </conditionalFormatting>
  <conditionalFormatting sqref="A8">
    <cfRule type="duplicateValues" dxfId="11" priority="1"/>
  </conditionalFormatting>
  <dataValidations count="1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4:C13">
      <formula1>$B$30:$B$31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rightToLeft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12.42578125" bestFit="1" customWidth="1"/>
    <col min="18" max="18" width="10.5703125" bestFit="1" customWidth="1"/>
    <col min="19" max="19" width="5" bestFit="1" customWidth="1"/>
  </cols>
  <sheetData>
    <row r="1" spans="1:19" ht="30.75">
      <c r="A1" s="288" t="s">
        <v>45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  <row r="2" spans="1:19" ht="13.5" thickBot="1"/>
    <row r="3" spans="1:19" s="3" customFormat="1" ht="37.5" customHeight="1" thickTop="1" thickBot="1">
      <c r="A3" s="289" t="s">
        <v>46</v>
      </c>
      <c r="B3" s="28" t="s">
        <v>41</v>
      </c>
      <c r="C3" s="27" t="s">
        <v>1</v>
      </c>
      <c r="D3" s="27" t="s">
        <v>8</v>
      </c>
      <c r="E3" s="27" t="s">
        <v>51</v>
      </c>
      <c r="F3" s="27" t="s">
        <v>50</v>
      </c>
      <c r="G3" s="27" t="s">
        <v>54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39</v>
      </c>
      <c r="Q3" s="40" t="s">
        <v>40</v>
      </c>
      <c r="R3" s="60" t="s">
        <v>59</v>
      </c>
      <c r="S3"/>
    </row>
    <row r="4" spans="1:19">
      <c r="A4" s="290"/>
      <c r="B4" s="29">
        <v>123456789</v>
      </c>
      <c r="C4" s="8" t="s">
        <v>2</v>
      </c>
      <c r="D4" s="8" t="s">
        <v>17</v>
      </c>
      <c r="E4" s="10">
        <v>9877665</v>
      </c>
      <c r="F4" s="13">
        <v>123</v>
      </c>
      <c r="G4" s="37" t="s">
        <v>55</v>
      </c>
      <c r="H4" s="8">
        <v>89</v>
      </c>
      <c r="I4" s="8">
        <v>86</v>
      </c>
      <c r="J4" s="8">
        <v>99</v>
      </c>
      <c r="K4" s="16">
        <f t="shared" ref="K4:K13" si="0">AVERAGE(H4:J4)</f>
        <v>91.333333333333329</v>
      </c>
      <c r="L4" s="8">
        <v>99</v>
      </c>
      <c r="M4" s="8">
        <v>80</v>
      </c>
      <c r="N4" s="19">
        <f t="shared" ref="N4:N13" si="1">ROUND(H4*$C$32+I4*$C$33+J4*$C$34+L4*$C$35+M4*$C$36,0)</f>
        <v>89</v>
      </c>
      <c r="O4" s="8" t="str">
        <f t="shared" ref="O4:O13" si="2">IF(N4&lt;$C$41,$B$40,IF(N4&lt;$C$42,$B$41,$B$42))</f>
        <v>מצטיין</v>
      </c>
      <c r="P4" s="8" t="str">
        <f t="shared" ref="P4:P13" si="3">IF(AND(D4=$C$46,O4=$B$42),"מלגה","")</f>
        <v/>
      </c>
      <c r="Q4" s="41" t="str">
        <f t="shared" ref="Q4:Q13" si="4">IF(OR(D4=$C$46,O4=$B$42),"מלגה","")</f>
        <v>מלגה</v>
      </c>
      <c r="R4" s="9" t="str">
        <f t="shared" ref="R4:R13" si="5">IF(NOT(N4&lt;$C$41),"מלגה","")</f>
        <v>מלגה</v>
      </c>
    </row>
    <row r="5" spans="1:19">
      <c r="A5" s="290"/>
      <c r="B5" s="30">
        <v>193878400</v>
      </c>
      <c r="C5" s="4" t="s">
        <v>3</v>
      </c>
      <c r="D5" s="4" t="s">
        <v>18</v>
      </c>
      <c r="E5" s="11">
        <v>9876544</v>
      </c>
      <c r="F5" s="14">
        <v>70000</v>
      </c>
      <c r="G5" s="38" t="s">
        <v>55</v>
      </c>
      <c r="H5" s="4">
        <v>81</v>
      </c>
      <c r="I5" s="4">
        <v>80</v>
      </c>
      <c r="J5" s="4">
        <v>82</v>
      </c>
      <c r="K5" s="17">
        <f t="shared" si="0"/>
        <v>81</v>
      </c>
      <c r="L5" s="4">
        <v>81</v>
      </c>
      <c r="M5" s="4">
        <v>81</v>
      </c>
      <c r="N5" s="20">
        <f t="shared" si="1"/>
        <v>81</v>
      </c>
      <c r="O5" s="4" t="str">
        <f t="shared" si="2"/>
        <v>עובר</v>
      </c>
      <c r="P5" s="4" t="str">
        <f t="shared" si="3"/>
        <v/>
      </c>
      <c r="Q5" s="42" t="str">
        <f t="shared" si="4"/>
        <v>מלגה</v>
      </c>
      <c r="R5" s="5" t="str">
        <f t="shared" si="5"/>
        <v>מלגה</v>
      </c>
    </row>
    <row r="6" spans="1:19">
      <c r="A6" s="290"/>
      <c r="B6" s="30">
        <v>244576280</v>
      </c>
      <c r="C6" s="4" t="s">
        <v>19</v>
      </c>
      <c r="D6" s="4" t="s">
        <v>18</v>
      </c>
      <c r="E6" s="11">
        <v>3252524</v>
      </c>
      <c r="F6" s="14">
        <v>44451</v>
      </c>
      <c r="G6" s="38" t="s">
        <v>0</v>
      </c>
      <c r="H6" s="4">
        <v>94</v>
      </c>
      <c r="I6" s="4">
        <v>100</v>
      </c>
      <c r="J6" s="4">
        <v>93</v>
      </c>
      <c r="K6" s="17">
        <f t="shared" si="0"/>
        <v>95.666666666666671</v>
      </c>
      <c r="L6" s="4">
        <v>95</v>
      </c>
      <c r="M6" s="4">
        <v>100</v>
      </c>
      <c r="N6" s="20">
        <f t="shared" si="1"/>
        <v>97</v>
      </c>
      <c r="O6" s="4" t="str">
        <f t="shared" si="2"/>
        <v>מצטיין</v>
      </c>
      <c r="P6" s="4" t="str">
        <f t="shared" si="3"/>
        <v>מלגה</v>
      </c>
      <c r="Q6" s="42" t="str">
        <f t="shared" si="4"/>
        <v>מלגה</v>
      </c>
      <c r="R6" s="5" t="str">
        <f t="shared" si="5"/>
        <v>מלגה</v>
      </c>
    </row>
    <row r="7" spans="1:19">
      <c r="A7" s="290"/>
      <c r="B7" s="30">
        <v>298754355</v>
      </c>
      <c r="C7" s="4" t="s">
        <v>6</v>
      </c>
      <c r="D7" s="4" t="s">
        <v>17</v>
      </c>
      <c r="E7" s="11">
        <v>8763456</v>
      </c>
      <c r="F7" s="14">
        <v>83934</v>
      </c>
      <c r="G7" s="38" t="s">
        <v>0</v>
      </c>
      <c r="H7" s="4">
        <v>88</v>
      </c>
      <c r="I7" s="4">
        <v>90</v>
      </c>
      <c r="J7" s="4">
        <v>74</v>
      </c>
      <c r="K7" s="17">
        <f t="shared" si="0"/>
        <v>84</v>
      </c>
      <c r="L7" s="4">
        <v>55</v>
      </c>
      <c r="M7" s="4">
        <v>45</v>
      </c>
      <c r="N7" s="20">
        <f t="shared" si="1"/>
        <v>60</v>
      </c>
      <c r="O7" s="4" t="str">
        <f t="shared" si="2"/>
        <v>עובר</v>
      </c>
      <c r="P7" s="4" t="str">
        <f t="shared" si="3"/>
        <v/>
      </c>
      <c r="Q7" s="42" t="str">
        <f t="shared" si="4"/>
        <v/>
      </c>
      <c r="R7" s="5" t="str">
        <f t="shared" si="5"/>
        <v>מלגה</v>
      </c>
    </row>
    <row r="8" spans="1:19">
      <c r="A8" s="290"/>
      <c r="B8" s="30">
        <v>388923057</v>
      </c>
      <c r="C8" s="4" t="s">
        <v>5</v>
      </c>
      <c r="D8" s="4" t="s">
        <v>18</v>
      </c>
      <c r="E8" s="11">
        <v>8743644</v>
      </c>
      <c r="F8" s="14">
        <v>44141</v>
      </c>
      <c r="G8" s="38" t="s">
        <v>0</v>
      </c>
      <c r="H8" s="4">
        <v>60</v>
      </c>
      <c r="I8" s="4">
        <v>100</v>
      </c>
      <c r="J8" s="4">
        <v>80</v>
      </c>
      <c r="K8" s="17">
        <f t="shared" si="0"/>
        <v>80</v>
      </c>
      <c r="L8" s="4">
        <v>40</v>
      </c>
      <c r="M8" s="4">
        <v>61</v>
      </c>
      <c r="N8" s="20">
        <f t="shared" si="1"/>
        <v>60</v>
      </c>
      <c r="O8" s="4" t="str">
        <f t="shared" si="2"/>
        <v>עובר</v>
      </c>
      <c r="P8" s="4" t="str">
        <f t="shared" si="3"/>
        <v/>
      </c>
      <c r="Q8" s="42" t="str">
        <f t="shared" si="4"/>
        <v>מלגה</v>
      </c>
      <c r="R8" s="5" t="str">
        <f t="shared" si="5"/>
        <v>מלגה</v>
      </c>
    </row>
    <row r="9" spans="1:19">
      <c r="A9" s="290"/>
      <c r="B9" s="30">
        <v>658370843</v>
      </c>
      <c r="C9" s="4" t="s">
        <v>4</v>
      </c>
      <c r="D9" s="4" t="s">
        <v>18</v>
      </c>
      <c r="E9" s="11">
        <v>2118758</v>
      </c>
      <c r="F9" s="14">
        <v>55326</v>
      </c>
      <c r="G9" s="38" t="s">
        <v>55</v>
      </c>
      <c r="H9" s="4">
        <v>67</v>
      </c>
      <c r="I9" s="4">
        <v>99</v>
      </c>
      <c r="J9" s="4">
        <v>69</v>
      </c>
      <c r="K9" s="17">
        <f t="shared" si="0"/>
        <v>78.333333333333329</v>
      </c>
      <c r="L9" s="4">
        <v>90</v>
      </c>
      <c r="M9" s="4">
        <v>85</v>
      </c>
      <c r="N9" s="20">
        <f t="shared" si="1"/>
        <v>85</v>
      </c>
      <c r="O9" s="4" t="str">
        <f t="shared" si="2"/>
        <v>מצטיין</v>
      </c>
      <c r="P9" s="4" t="str">
        <f t="shared" si="3"/>
        <v>מלגה</v>
      </c>
      <c r="Q9" s="42" t="str">
        <f t="shared" si="4"/>
        <v>מלגה</v>
      </c>
      <c r="R9" s="5" t="str">
        <f t="shared" si="5"/>
        <v>מלגה</v>
      </c>
    </row>
    <row r="10" spans="1:19">
      <c r="A10" s="290"/>
      <c r="B10" s="30">
        <v>830998987</v>
      </c>
      <c r="C10" s="4" t="s">
        <v>5</v>
      </c>
      <c r="D10" s="4" t="s">
        <v>18</v>
      </c>
      <c r="E10" s="11">
        <v>3527439</v>
      </c>
      <c r="F10" s="14">
        <v>56324</v>
      </c>
      <c r="G10" s="38" t="s">
        <v>55</v>
      </c>
      <c r="H10" s="4">
        <v>80</v>
      </c>
      <c r="I10" s="4"/>
      <c r="J10" s="4">
        <v>87</v>
      </c>
      <c r="K10" s="17">
        <f t="shared" si="0"/>
        <v>83.5</v>
      </c>
      <c r="L10" s="4">
        <v>90</v>
      </c>
      <c r="M10" s="4"/>
      <c r="N10" s="20">
        <f t="shared" si="1"/>
        <v>44</v>
      </c>
      <c r="O10" s="4" t="str">
        <f t="shared" si="2"/>
        <v>נכשל</v>
      </c>
      <c r="P10" s="4" t="str">
        <f t="shared" si="3"/>
        <v/>
      </c>
      <c r="Q10" s="42" t="str">
        <f t="shared" si="4"/>
        <v>מלגה</v>
      </c>
      <c r="R10" s="5" t="str">
        <f t="shared" si="5"/>
        <v/>
      </c>
    </row>
    <row r="11" spans="1:19">
      <c r="A11" s="290"/>
      <c r="B11" s="30">
        <v>947465892</v>
      </c>
      <c r="C11" s="4" t="s">
        <v>19</v>
      </c>
      <c r="D11" s="4" t="s">
        <v>17</v>
      </c>
      <c r="E11" s="11">
        <v>3434324</v>
      </c>
      <c r="F11" s="14">
        <v>41466</v>
      </c>
      <c r="G11" s="38" t="s">
        <v>0</v>
      </c>
      <c r="H11" s="4"/>
      <c r="I11" s="4">
        <v>79</v>
      </c>
      <c r="J11" s="4">
        <v>99</v>
      </c>
      <c r="K11" s="17">
        <f t="shared" si="0"/>
        <v>89</v>
      </c>
      <c r="L11" s="4">
        <v>86</v>
      </c>
      <c r="M11" s="4">
        <v>65</v>
      </c>
      <c r="N11" s="20">
        <f t="shared" si="1"/>
        <v>70</v>
      </c>
      <c r="O11" s="4" t="str">
        <f t="shared" si="2"/>
        <v>עובר</v>
      </c>
      <c r="P11" s="4" t="str">
        <f t="shared" si="3"/>
        <v/>
      </c>
      <c r="Q11" s="42" t="str">
        <f t="shared" si="4"/>
        <v/>
      </c>
      <c r="R11" s="5" t="str">
        <f t="shared" si="5"/>
        <v>מלגה</v>
      </c>
    </row>
    <row r="12" spans="1:19">
      <c r="A12" s="290"/>
      <c r="B12" s="30">
        <v>983687692</v>
      </c>
      <c r="C12" s="4" t="s">
        <v>7</v>
      </c>
      <c r="D12" s="4" t="s">
        <v>18</v>
      </c>
      <c r="E12" s="11">
        <v>6347234</v>
      </c>
      <c r="F12" s="14">
        <v>55235</v>
      </c>
      <c r="G12" s="38" t="s">
        <v>0</v>
      </c>
      <c r="H12" s="4">
        <v>45</v>
      </c>
      <c r="I12" s="4">
        <v>60</v>
      </c>
      <c r="J12" s="4"/>
      <c r="K12" s="17">
        <f t="shared" si="0"/>
        <v>52.5</v>
      </c>
      <c r="L12" s="4">
        <v>99</v>
      </c>
      <c r="M12" s="4">
        <v>94</v>
      </c>
      <c r="N12" s="20">
        <f t="shared" si="1"/>
        <v>78</v>
      </c>
      <c r="O12" s="4" t="str">
        <f t="shared" si="2"/>
        <v>עובר</v>
      </c>
      <c r="P12" s="4" t="str">
        <f t="shared" si="3"/>
        <v/>
      </c>
      <c r="Q12" s="42" t="str">
        <f t="shared" si="4"/>
        <v>מלגה</v>
      </c>
      <c r="R12" s="5" t="str">
        <f t="shared" si="5"/>
        <v>מלגה</v>
      </c>
    </row>
    <row r="13" spans="1:19" ht="13.5" thickBot="1">
      <c r="A13" s="291"/>
      <c r="B13" s="31">
        <v>987654321</v>
      </c>
      <c r="C13" s="6" t="s">
        <v>42</v>
      </c>
      <c r="D13" s="6" t="s">
        <v>17</v>
      </c>
      <c r="E13" s="12">
        <v>7563094</v>
      </c>
      <c r="F13" s="15">
        <v>86534</v>
      </c>
      <c r="G13" s="39" t="s">
        <v>55</v>
      </c>
      <c r="H13" s="6">
        <v>91</v>
      </c>
      <c r="I13" s="6">
        <v>79</v>
      </c>
      <c r="J13" s="6">
        <v>85</v>
      </c>
      <c r="K13" s="18">
        <f t="shared" si="0"/>
        <v>85</v>
      </c>
      <c r="L13" s="6">
        <v>100</v>
      </c>
      <c r="M13" s="6">
        <v>50</v>
      </c>
      <c r="N13" s="21">
        <f t="shared" si="1"/>
        <v>76</v>
      </c>
      <c r="O13" s="6" t="str">
        <f t="shared" si="2"/>
        <v>עובר</v>
      </c>
      <c r="P13" s="6" t="str">
        <f t="shared" si="3"/>
        <v/>
      </c>
      <c r="Q13" s="43" t="str">
        <f t="shared" si="4"/>
        <v/>
      </c>
      <c r="R13" s="7" t="str">
        <f t="shared" si="5"/>
        <v>מלגה</v>
      </c>
    </row>
    <row r="14" spans="1:19" ht="14.25" thickTop="1" thickBot="1">
      <c r="L14"/>
      <c r="M14"/>
    </row>
    <row r="15" spans="1:19" ht="12.75" customHeight="1" thickTop="1" thickBot="1">
      <c r="A15" s="294" t="s">
        <v>47</v>
      </c>
      <c r="B15" s="22" t="s">
        <v>20</v>
      </c>
      <c r="C15" s="22"/>
      <c r="D15" s="22"/>
      <c r="E15" s="22"/>
      <c r="F15" s="22"/>
      <c r="G15" s="22"/>
      <c r="H15" s="32">
        <f>AVERAGE(H4:H13)</f>
        <v>77.222222222222229</v>
      </c>
      <c r="I15" s="32">
        <f t="shared" ref="I15:N15" si="6">AVERAGE(I4:I13)</f>
        <v>85.888888888888886</v>
      </c>
      <c r="J15" s="32">
        <f t="shared" si="6"/>
        <v>85.333333333333329</v>
      </c>
      <c r="K15" s="32">
        <f t="shared" si="6"/>
        <v>82.033333333333331</v>
      </c>
      <c r="L15" s="32">
        <f t="shared" si="6"/>
        <v>83.5</v>
      </c>
      <c r="M15" s="32">
        <f t="shared" si="6"/>
        <v>73.444444444444443</v>
      </c>
      <c r="N15" s="33">
        <f t="shared" si="6"/>
        <v>74</v>
      </c>
      <c r="P15" s="298" t="s">
        <v>64</v>
      </c>
      <c r="Q15" s="299"/>
      <c r="R15" s="300"/>
    </row>
    <row r="16" spans="1:19">
      <c r="A16" s="295"/>
      <c r="B16" s="4" t="s">
        <v>21</v>
      </c>
      <c r="C16" s="4"/>
      <c r="D16" s="4"/>
      <c r="E16" s="4"/>
      <c r="F16" s="4"/>
      <c r="G16" s="4"/>
      <c r="H16" s="17">
        <f>MEDIAN(H4:H13)</f>
        <v>81</v>
      </c>
      <c r="I16" s="17">
        <f t="shared" ref="I16:N16" si="7">MEDIAN(I4:I13)</f>
        <v>86</v>
      </c>
      <c r="J16" s="17">
        <f t="shared" si="7"/>
        <v>85</v>
      </c>
      <c r="K16" s="17">
        <f t="shared" si="7"/>
        <v>83.75</v>
      </c>
      <c r="L16" s="17">
        <f t="shared" si="7"/>
        <v>90</v>
      </c>
      <c r="M16" s="17">
        <f t="shared" si="7"/>
        <v>80</v>
      </c>
      <c r="N16" s="25">
        <f t="shared" si="7"/>
        <v>77</v>
      </c>
      <c r="P16" s="55" t="s">
        <v>65</v>
      </c>
      <c r="Q16" s="8"/>
      <c r="R16" s="9"/>
    </row>
    <row r="17" spans="1:18">
      <c r="A17" s="295"/>
      <c r="B17" s="4" t="s">
        <v>22</v>
      </c>
      <c r="C17" s="4"/>
      <c r="D17" s="4"/>
      <c r="E17" s="4"/>
      <c r="F17" s="4"/>
      <c r="G17" s="4"/>
      <c r="H17" s="17" t="e">
        <f>MODE(H4:H13)</f>
        <v>#N/A</v>
      </c>
      <c r="I17" s="17">
        <f t="shared" ref="I17:N17" si="8">MODE(I4:I13)</f>
        <v>100</v>
      </c>
      <c r="J17" s="17">
        <f t="shared" si="8"/>
        <v>99</v>
      </c>
      <c r="K17" s="17" t="e">
        <f t="shared" si="8"/>
        <v>#N/A</v>
      </c>
      <c r="L17" s="17">
        <f t="shared" si="8"/>
        <v>99</v>
      </c>
      <c r="M17" s="17" t="e">
        <f t="shared" si="8"/>
        <v>#N/A</v>
      </c>
      <c r="N17" s="25">
        <f t="shared" si="8"/>
        <v>60</v>
      </c>
      <c r="P17" s="61" t="s">
        <v>66</v>
      </c>
      <c r="Q17" s="4"/>
      <c r="R17" s="9"/>
    </row>
    <row r="18" spans="1:18">
      <c r="A18" s="295"/>
      <c r="B18" s="4" t="s">
        <v>23</v>
      </c>
      <c r="C18" s="4"/>
      <c r="D18" s="4"/>
      <c r="E18" s="4"/>
      <c r="F18" s="4"/>
      <c r="G18" s="4"/>
      <c r="H18" s="17">
        <f>MAX(H4:H13)</f>
        <v>94</v>
      </c>
      <c r="I18" s="17">
        <f t="shared" ref="I18:N18" si="9">MAX(I4:I13)</f>
        <v>100</v>
      </c>
      <c r="J18" s="17">
        <f t="shared" si="9"/>
        <v>99</v>
      </c>
      <c r="K18" s="17">
        <f t="shared" si="9"/>
        <v>95.666666666666671</v>
      </c>
      <c r="L18" s="17">
        <f t="shared" si="9"/>
        <v>100</v>
      </c>
      <c r="M18" s="17">
        <f t="shared" si="9"/>
        <v>100</v>
      </c>
      <c r="N18" s="25">
        <f t="shared" si="9"/>
        <v>97</v>
      </c>
      <c r="P18" s="61" t="s">
        <v>67</v>
      </c>
      <c r="Q18" s="4"/>
      <c r="R18" s="9"/>
    </row>
    <row r="19" spans="1:18">
      <c r="A19" s="295"/>
      <c r="B19" s="4" t="s">
        <v>24</v>
      </c>
      <c r="C19" s="4"/>
      <c r="D19" s="4"/>
      <c r="E19" s="4"/>
      <c r="F19" s="4"/>
      <c r="G19" s="4"/>
      <c r="H19" s="17">
        <f>MIN(H4:H13)</f>
        <v>45</v>
      </c>
      <c r="I19" s="17">
        <f t="shared" ref="I19:N19" si="10">MIN(I4:I13)</f>
        <v>60</v>
      </c>
      <c r="J19" s="17">
        <f t="shared" si="10"/>
        <v>69</v>
      </c>
      <c r="K19" s="17">
        <f t="shared" si="10"/>
        <v>52.5</v>
      </c>
      <c r="L19" s="17">
        <f t="shared" si="10"/>
        <v>40</v>
      </c>
      <c r="M19" s="17">
        <f t="shared" si="10"/>
        <v>45</v>
      </c>
      <c r="N19" s="25">
        <f t="shared" si="10"/>
        <v>44</v>
      </c>
      <c r="P19" s="61" t="s">
        <v>68</v>
      </c>
      <c r="Q19" s="4"/>
      <c r="R19" s="5"/>
    </row>
    <row r="20" spans="1:18">
      <c r="A20" s="295"/>
      <c r="B20" s="4" t="s">
        <v>43</v>
      </c>
      <c r="C20" s="4"/>
      <c r="D20" s="4"/>
      <c r="E20" s="4"/>
      <c r="F20" s="4"/>
      <c r="G20" s="4"/>
      <c r="H20" s="17">
        <f>_xlfn.STDEV.P(H4:H13)</f>
        <v>15.59043708159145</v>
      </c>
      <c r="I20" s="17">
        <f t="shared" ref="I20:N20" si="11">_xlfn.STDEV.P(I4:I13)</f>
        <v>12.4136523808305</v>
      </c>
      <c r="J20" s="17">
        <f t="shared" si="11"/>
        <v>9.8319208025017506</v>
      </c>
      <c r="K20" s="17">
        <f t="shared" si="11"/>
        <v>11.076200712438522</v>
      </c>
      <c r="L20" s="17">
        <f t="shared" si="11"/>
        <v>19.200260414900626</v>
      </c>
      <c r="M20" s="17">
        <f t="shared" si="11"/>
        <v>18.093038017186554</v>
      </c>
      <c r="N20" s="25">
        <f t="shared" si="11"/>
        <v>15.006665185843255</v>
      </c>
      <c r="P20" s="61" t="s">
        <v>69</v>
      </c>
      <c r="Q20" s="4"/>
      <c r="R20" s="5"/>
    </row>
    <row r="21" spans="1:18" ht="13.5" thickBot="1">
      <c r="A21" s="295"/>
      <c r="B21" s="4" t="s">
        <v>44</v>
      </c>
      <c r="C21" s="4"/>
      <c r="D21" s="4"/>
      <c r="E21" s="4"/>
      <c r="F21" s="4"/>
      <c r="G21" s="4"/>
      <c r="H21" s="17">
        <f>_xlfn.VAR.P(H4:H13)</f>
        <v>243.06172839506172</v>
      </c>
      <c r="I21" s="17">
        <f t="shared" ref="I21:N21" si="12">_xlfn.VAR.P(I4:I13)</f>
        <v>154.09876543209876</v>
      </c>
      <c r="J21" s="17">
        <f t="shared" si="12"/>
        <v>96.666666666666671</v>
      </c>
      <c r="K21" s="17">
        <f t="shared" si="12"/>
        <v>122.68222222222364</v>
      </c>
      <c r="L21" s="17">
        <f t="shared" si="12"/>
        <v>368.65</v>
      </c>
      <c r="M21" s="17">
        <f t="shared" si="12"/>
        <v>327.35802469135803</v>
      </c>
      <c r="N21" s="25">
        <f t="shared" si="12"/>
        <v>225.2</v>
      </c>
      <c r="P21" s="57" t="s">
        <v>70</v>
      </c>
      <c r="Q21" s="54"/>
      <c r="R21" s="7"/>
    </row>
    <row r="22" spans="1:18" ht="14.25" thickTop="1" thickBot="1">
      <c r="A22" s="295"/>
      <c r="B22" s="4" t="s">
        <v>37</v>
      </c>
      <c r="C22" s="4"/>
      <c r="D22" s="4"/>
      <c r="E22" s="4"/>
      <c r="F22" s="4"/>
      <c r="G22" s="4"/>
      <c r="H22" s="4">
        <f>COUNT(H4:H13)</f>
        <v>9</v>
      </c>
      <c r="I22" s="4">
        <f t="shared" ref="I22:N22" si="13">COUNT(I4:I13)</f>
        <v>9</v>
      </c>
      <c r="J22" s="4">
        <f t="shared" si="13"/>
        <v>9</v>
      </c>
      <c r="K22" s="4">
        <f t="shared" si="13"/>
        <v>10</v>
      </c>
      <c r="L22" s="4">
        <f t="shared" si="13"/>
        <v>10</v>
      </c>
      <c r="M22" s="4">
        <f t="shared" si="13"/>
        <v>9</v>
      </c>
      <c r="N22" s="5">
        <f t="shared" si="13"/>
        <v>10</v>
      </c>
    </row>
    <row r="23" spans="1:18" ht="26.25" customHeight="1" thickTop="1">
      <c r="A23" s="295"/>
      <c r="B23" s="4" t="s">
        <v>25</v>
      </c>
      <c r="C23" s="4"/>
      <c r="D23" s="4"/>
      <c r="E23" s="4"/>
      <c r="F23" s="4"/>
      <c r="G23" s="4"/>
      <c r="H23" s="4">
        <f>COUNTIF(H4:H13,"&lt;"&amp;$C$41)</f>
        <v>1</v>
      </c>
      <c r="I23" s="4">
        <f t="shared" ref="I23:N23" si="14">COUNTIF(I4:I13,"&lt;"&amp;$C$41)</f>
        <v>0</v>
      </c>
      <c r="J23" s="4">
        <f t="shared" si="14"/>
        <v>0</v>
      </c>
      <c r="K23" s="4">
        <f t="shared" si="14"/>
        <v>1</v>
      </c>
      <c r="L23" s="4">
        <f t="shared" si="14"/>
        <v>2</v>
      </c>
      <c r="M23" s="4">
        <f t="shared" si="14"/>
        <v>2</v>
      </c>
      <c r="N23" s="24">
        <f t="shared" si="14"/>
        <v>1</v>
      </c>
      <c r="P23" s="301" t="s">
        <v>170</v>
      </c>
      <c r="Q23" s="302"/>
      <c r="R23" s="303"/>
    </row>
    <row r="24" spans="1:18" ht="13.5" thickBot="1">
      <c r="A24" s="295"/>
      <c r="B24" s="4" t="s">
        <v>52</v>
      </c>
      <c r="C24" s="4"/>
      <c r="D24" s="4"/>
      <c r="E24" s="4"/>
      <c r="F24" s="4"/>
      <c r="G24" s="4"/>
      <c r="H24" s="4">
        <f>COUNTIFS(H4:H13,"&gt;="&amp;$C$41,H4:H13,"&lt;"&amp;$C$42)</f>
        <v>4</v>
      </c>
      <c r="I24" s="4">
        <f t="shared" ref="I24:N24" si="15">COUNTIFS(I4:I13,"&gt;="&amp;$C$41,I4:I13,"&lt;"&amp;$C$42)</f>
        <v>4</v>
      </c>
      <c r="J24" s="4">
        <f t="shared" si="15"/>
        <v>4</v>
      </c>
      <c r="K24" s="4">
        <f t="shared" si="15"/>
        <v>5</v>
      </c>
      <c r="L24" s="4">
        <f t="shared" si="15"/>
        <v>1</v>
      </c>
      <c r="M24" s="4">
        <f t="shared" si="15"/>
        <v>4</v>
      </c>
      <c r="N24" s="24">
        <f t="shared" si="15"/>
        <v>6</v>
      </c>
      <c r="P24" s="304" t="str">
        <f>LOOKUP(388923057,B4:B13,C4:C13)</f>
        <v>מיכל</v>
      </c>
      <c r="Q24" s="305"/>
      <c r="R24" s="306"/>
    </row>
    <row r="25" spans="1:18" ht="14.25" thickTop="1" thickBot="1">
      <c r="A25" s="295"/>
      <c r="B25" s="4" t="s">
        <v>53</v>
      </c>
      <c r="C25" s="4"/>
      <c r="D25" s="4"/>
      <c r="E25" s="4"/>
      <c r="F25" s="4"/>
      <c r="G25" s="4"/>
      <c r="H25" s="4">
        <f>COUNTIF(H4:H13,E42)</f>
        <v>4</v>
      </c>
      <c r="I25" s="4">
        <f t="shared" ref="I25:N25" si="16">COUNTIF(I4:I13,"&gt;="&amp;$C$42)</f>
        <v>5</v>
      </c>
      <c r="J25" s="4">
        <f t="shared" si="16"/>
        <v>5</v>
      </c>
      <c r="K25" s="4">
        <f t="shared" si="16"/>
        <v>4</v>
      </c>
      <c r="L25" s="4">
        <f t="shared" si="16"/>
        <v>7</v>
      </c>
      <c r="M25" s="4">
        <f t="shared" si="16"/>
        <v>3</v>
      </c>
      <c r="N25" s="24">
        <f t="shared" si="16"/>
        <v>3</v>
      </c>
    </row>
    <row r="26" spans="1:18" ht="13.5" thickTop="1">
      <c r="A26" s="295"/>
      <c r="B26" s="38" t="s">
        <v>60</v>
      </c>
      <c r="C26" s="4" t="str">
        <f>B45</f>
        <v>סטודנטים</v>
      </c>
      <c r="D26" s="4"/>
      <c r="E26" s="4"/>
      <c r="F26" s="4"/>
      <c r="G26" s="4"/>
      <c r="H26" s="4">
        <f>COUNTIFS($D$4:$D$13,$C$45,H4:H13,"&gt;="&amp;$C$42)</f>
        <v>3</v>
      </c>
      <c r="I26" s="4">
        <f t="shared" ref="I26:N26" si="17">COUNTIFS($D$4:$D$13,$C$45,I4:I13,"&gt;="&amp;$C$42)</f>
        <v>2</v>
      </c>
      <c r="J26" s="4">
        <f t="shared" si="17"/>
        <v>3</v>
      </c>
      <c r="K26" s="4">
        <f t="shared" si="17"/>
        <v>3</v>
      </c>
      <c r="L26" s="4">
        <f t="shared" si="17"/>
        <v>3</v>
      </c>
      <c r="M26" s="4">
        <f t="shared" si="17"/>
        <v>0</v>
      </c>
      <c r="N26" s="5">
        <f t="shared" si="17"/>
        <v>1</v>
      </c>
      <c r="P26" s="307" t="s">
        <v>171</v>
      </c>
      <c r="Q26" s="308"/>
      <c r="R26" s="278"/>
    </row>
    <row r="27" spans="1:18" ht="13.5" thickBot="1">
      <c r="A27" s="296"/>
      <c r="B27" s="44"/>
      <c r="C27" s="4" t="str">
        <f>B46</f>
        <v>סטודנטיות</v>
      </c>
      <c r="D27" s="44"/>
      <c r="E27" s="44"/>
      <c r="F27" s="44"/>
      <c r="G27" s="44"/>
      <c r="H27" s="44">
        <f>COUNTIFS($D$4:$D$13,$C$46,H4:H13,$E$42)</f>
        <v>1</v>
      </c>
      <c r="I27" s="44">
        <f t="shared" ref="I27:N27" si="18">COUNTIFS($D$4:$D$13,$C$46,I4:I13,$E$42)</f>
        <v>3</v>
      </c>
      <c r="J27" s="44">
        <f t="shared" si="18"/>
        <v>2</v>
      </c>
      <c r="K27" s="44">
        <f t="shared" si="18"/>
        <v>1</v>
      </c>
      <c r="L27" s="44">
        <f t="shared" si="18"/>
        <v>4</v>
      </c>
      <c r="M27" s="44">
        <f t="shared" si="18"/>
        <v>3</v>
      </c>
      <c r="N27" s="45">
        <f t="shared" si="18"/>
        <v>2</v>
      </c>
      <c r="P27" s="304">
        <f>MATCH(E3,B3:R3,0)</f>
        <v>4</v>
      </c>
      <c r="Q27" s="305"/>
      <c r="R27" s="306"/>
    </row>
    <row r="28" spans="1:18" ht="14.25" thickTop="1" thickBot="1">
      <c r="A28" s="296"/>
      <c r="B28" s="44" t="s">
        <v>38</v>
      </c>
      <c r="C28" s="44"/>
      <c r="D28" s="44">
        <f>COUNTA(C4:C13)</f>
        <v>10</v>
      </c>
      <c r="E28" s="44"/>
      <c r="F28" s="44"/>
      <c r="G28" s="48" t="s">
        <v>63</v>
      </c>
      <c r="H28" s="49">
        <f>AVERAGEIFS(H4:H13,H4:H13,"&gt;="&amp;$C$41,H4:H13,"&lt;"&amp;$C$42)</f>
        <v>72</v>
      </c>
      <c r="I28" s="49">
        <f t="shared" ref="I28:N28" si="19">AVERAGEIFS(I4:I13,I4:I13,"&gt;="&amp;$C$41,I4:I13,"&lt;"&amp;$C$42)</f>
        <v>74.5</v>
      </c>
      <c r="J28" s="49">
        <f t="shared" si="19"/>
        <v>76.25</v>
      </c>
      <c r="K28" s="49">
        <f t="shared" si="19"/>
        <v>81.36666666666666</v>
      </c>
      <c r="L28" s="49">
        <f t="shared" si="19"/>
        <v>81</v>
      </c>
      <c r="M28" s="49">
        <f t="shared" si="19"/>
        <v>71.75</v>
      </c>
      <c r="N28" s="50">
        <f t="shared" si="19"/>
        <v>70.833333333333329</v>
      </c>
    </row>
    <row r="29" spans="1:18" ht="13.5" thickTop="1">
      <c r="A29" s="296"/>
      <c r="B29" s="38" t="s">
        <v>60</v>
      </c>
      <c r="C29" s="44" t="str">
        <f>B45</f>
        <v>סטודנטים</v>
      </c>
      <c r="D29" s="44">
        <f>COUNTIF(D4:D13,C45)</f>
        <v>4</v>
      </c>
      <c r="E29" s="44"/>
      <c r="F29" s="44"/>
      <c r="G29" s="47" t="s">
        <v>62</v>
      </c>
      <c r="H29" s="49">
        <f>AVERAGEIF($D$4:$D$13,$C45,H$4:H$13)</f>
        <v>89.333333333333329</v>
      </c>
      <c r="I29" s="49">
        <f t="shared" ref="I29:N29" si="20">AVERAGEIF($D$4:$D$13,$C45,I$4:I$13)</f>
        <v>83.5</v>
      </c>
      <c r="J29" s="49">
        <f t="shared" si="20"/>
        <v>89.25</v>
      </c>
      <c r="K29" s="49">
        <f t="shared" si="20"/>
        <v>87.333333333333329</v>
      </c>
      <c r="L29" s="49">
        <f t="shared" si="20"/>
        <v>85</v>
      </c>
      <c r="M29" s="49">
        <f t="shared" si="20"/>
        <v>60</v>
      </c>
      <c r="N29" s="50">
        <f t="shared" si="20"/>
        <v>73.75</v>
      </c>
      <c r="P29" s="283" t="s">
        <v>83</v>
      </c>
      <c r="Q29" s="284"/>
      <c r="R29" s="285"/>
    </row>
    <row r="30" spans="1:18" ht="13.5" thickBot="1">
      <c r="A30" s="297"/>
      <c r="B30" s="6"/>
      <c r="C30" s="6" t="str">
        <f>B46</f>
        <v>סטודנטיות</v>
      </c>
      <c r="D30" s="6">
        <f>COUNTIF(D4:D13,C46)</f>
        <v>6</v>
      </c>
      <c r="E30" s="6"/>
      <c r="F30" s="6"/>
      <c r="G30" s="6" t="s">
        <v>62</v>
      </c>
      <c r="H30" s="51">
        <f t="shared" ref="H30:N30" si="21">AVERAGEIF($D$4:$D$13,$C46,H$4:H$13)</f>
        <v>71.166666666666671</v>
      </c>
      <c r="I30" s="53">
        <f t="shared" si="21"/>
        <v>87.8</v>
      </c>
      <c r="J30" s="51">
        <f t="shared" si="21"/>
        <v>82.2</v>
      </c>
      <c r="K30" s="51">
        <f t="shared" si="21"/>
        <v>78.5</v>
      </c>
      <c r="L30" s="51">
        <f t="shared" si="21"/>
        <v>82.5</v>
      </c>
      <c r="M30" s="51">
        <f t="shared" si="21"/>
        <v>84.2</v>
      </c>
      <c r="N30" s="52">
        <f t="shared" si="21"/>
        <v>74.166666666666671</v>
      </c>
      <c r="P30" s="279" t="s">
        <v>172</v>
      </c>
      <c r="Q30" s="280"/>
      <c r="R30" s="62">
        <v>3434324</v>
      </c>
    </row>
    <row r="31" spans="1:18" ht="14.25" thickTop="1" thickBot="1">
      <c r="L31"/>
      <c r="M31"/>
      <c r="P31" s="279" t="s">
        <v>80</v>
      </c>
      <c r="Q31" s="280"/>
      <c r="R31" s="5" t="s">
        <v>1</v>
      </c>
    </row>
    <row r="32" spans="1:18" ht="14.25" thickTop="1" thickBot="1">
      <c r="A32" s="274" t="s">
        <v>48</v>
      </c>
      <c r="B32" s="22" t="s">
        <v>26</v>
      </c>
      <c r="C32" s="34">
        <v>0.1</v>
      </c>
      <c r="L32"/>
      <c r="M32"/>
      <c r="P32" s="281" t="s">
        <v>81</v>
      </c>
      <c r="Q32" s="282"/>
      <c r="R32" s="7" t="str">
        <f>INDEX(B4:R13,MATCH(R30,E4:E13,0),MATCH(R31,B3:R3,0))</f>
        <v>שחר</v>
      </c>
    </row>
    <row r="33" spans="1:18" ht="13.5" thickTop="1">
      <c r="A33" s="275"/>
      <c r="B33" s="4" t="s">
        <v>27</v>
      </c>
      <c r="C33" s="35">
        <v>0.1</v>
      </c>
      <c r="L33"/>
      <c r="M33"/>
    </row>
    <row r="34" spans="1:18" ht="13.5" thickBot="1">
      <c r="A34" s="275"/>
      <c r="B34" s="4" t="s">
        <v>28</v>
      </c>
      <c r="C34" s="35">
        <v>0.1</v>
      </c>
      <c r="L34"/>
      <c r="M34"/>
    </row>
    <row r="35" spans="1:18" ht="13.5" thickTop="1">
      <c r="A35" s="275"/>
      <c r="B35" s="4" t="s">
        <v>29</v>
      </c>
      <c r="C35" s="35">
        <v>0.3</v>
      </c>
      <c r="L35"/>
      <c r="M35"/>
      <c r="O35" s="283" t="s">
        <v>82</v>
      </c>
      <c r="P35" s="284"/>
      <c r="Q35" s="284"/>
      <c r="R35" s="285"/>
    </row>
    <row r="36" spans="1:18">
      <c r="A36" s="275"/>
      <c r="B36" s="4" t="s">
        <v>30</v>
      </c>
      <c r="C36" s="35">
        <v>0.4</v>
      </c>
      <c r="L36"/>
      <c r="M36"/>
      <c r="O36" s="286" t="s">
        <v>79</v>
      </c>
      <c r="P36" s="287"/>
      <c r="Q36" s="67">
        <v>123456789</v>
      </c>
      <c r="R36" s="68"/>
    </row>
    <row r="37" spans="1:18" ht="13.5" thickBot="1">
      <c r="A37" s="276"/>
      <c r="B37" s="6" t="s">
        <v>31</v>
      </c>
      <c r="C37" s="36">
        <f>SUM(C32:C36)</f>
        <v>1</v>
      </c>
      <c r="L37"/>
      <c r="M37"/>
      <c r="O37" s="189" t="s">
        <v>80</v>
      </c>
      <c r="P37" s="190"/>
      <c r="Q37" s="4" t="s">
        <v>12</v>
      </c>
      <c r="R37" s="25">
        <f>VLOOKUP($Q$36,$B$3:$R$13,MATCH(Q37,$B$3:$R$3,0),FALSE)</f>
        <v>91.333333333333329</v>
      </c>
    </row>
    <row r="38" spans="1:18" ht="12.75" customHeight="1" thickTop="1" thickBot="1">
      <c r="L38"/>
      <c r="M38"/>
      <c r="O38" s="189" t="s">
        <v>80</v>
      </c>
      <c r="P38" s="190"/>
      <c r="Q38" s="4" t="s">
        <v>13</v>
      </c>
      <c r="R38" s="5">
        <f>VLOOKUP($Q$36,$B$3:$R$13,MATCH(Q38,$B$3:$R$3,0),FALSE)</f>
        <v>99</v>
      </c>
    </row>
    <row r="39" spans="1:18" ht="13.5" thickTop="1">
      <c r="A39" s="274" t="s">
        <v>49</v>
      </c>
      <c r="B39" s="22"/>
      <c r="C39" s="22" t="s">
        <v>32</v>
      </c>
      <c r="D39" s="23" t="s">
        <v>33</v>
      </c>
      <c r="L39"/>
      <c r="O39" s="189" t="s">
        <v>80</v>
      </c>
      <c r="P39" s="190"/>
      <c r="Q39" s="4" t="s">
        <v>14</v>
      </c>
      <c r="R39" s="5">
        <f>VLOOKUP($Q$36,$B$3:$R$13,MATCH(Q39,$B$3:$R$3,0),FALSE)</f>
        <v>80</v>
      </c>
    </row>
    <row r="40" spans="1:18" ht="13.5" thickBot="1">
      <c r="A40" s="275"/>
      <c r="B40" s="4" t="s">
        <v>34</v>
      </c>
      <c r="C40" s="17">
        <v>0</v>
      </c>
      <c r="D40" s="25">
        <v>59.49</v>
      </c>
      <c r="E40" s="2"/>
      <c r="F40" s="2"/>
      <c r="G40" s="2"/>
      <c r="L40"/>
      <c r="O40" s="65" t="s">
        <v>80</v>
      </c>
      <c r="P40" s="66"/>
      <c r="Q40" s="6" t="s">
        <v>15</v>
      </c>
      <c r="R40" s="7">
        <f>VLOOKUP($Q$36,$B$3:$R$13,MATCH(Q40,$B$3:$R$3,0),FALSE)</f>
        <v>89</v>
      </c>
    </row>
    <row r="41" spans="1:18" ht="13.5" thickTop="1">
      <c r="A41" s="275"/>
      <c r="B41" s="4" t="s">
        <v>35</v>
      </c>
      <c r="C41" s="17">
        <v>59.5</v>
      </c>
      <c r="D41" s="25">
        <v>84.49</v>
      </c>
      <c r="E41" s="2"/>
      <c r="F41" s="2"/>
      <c r="G41" s="2"/>
      <c r="L41"/>
    </row>
    <row r="42" spans="1:18" ht="13.5" thickBot="1">
      <c r="A42" s="276"/>
      <c r="B42" s="6" t="s">
        <v>36</v>
      </c>
      <c r="C42" s="18">
        <f>84.5</f>
        <v>84.5</v>
      </c>
      <c r="D42" s="26">
        <v>100</v>
      </c>
      <c r="E42" s="46" t="s">
        <v>61</v>
      </c>
      <c r="F42" s="2"/>
      <c r="G42" s="2"/>
      <c r="L42"/>
    </row>
    <row r="43" spans="1:18" ht="14.25" thickTop="1" thickBot="1"/>
    <row r="44" spans="1:18" ht="13.5" thickTop="1">
      <c r="A44" s="274" t="s">
        <v>58</v>
      </c>
      <c r="B44" s="277" t="s">
        <v>8</v>
      </c>
      <c r="C44" s="278"/>
    </row>
    <row r="45" spans="1:18">
      <c r="A45" s="275"/>
      <c r="B45" s="4" t="s">
        <v>56</v>
      </c>
      <c r="C45" s="25" t="s">
        <v>17</v>
      </c>
    </row>
    <row r="46" spans="1:18" ht="13.5" thickBot="1">
      <c r="A46" s="276"/>
      <c r="B46" s="6" t="s">
        <v>57</v>
      </c>
      <c r="C46" s="26" t="s">
        <v>18</v>
      </c>
    </row>
    <row r="47" spans="1:18" ht="13.5" thickTop="1"/>
  </sheetData>
  <mergeCells count="18">
    <mergeCell ref="A39:A42"/>
    <mergeCell ref="A44:A46"/>
    <mergeCell ref="B44:C44"/>
    <mergeCell ref="P30:Q30"/>
    <mergeCell ref="P31:Q31"/>
    <mergeCell ref="A32:A37"/>
    <mergeCell ref="P32:Q32"/>
    <mergeCell ref="O35:R35"/>
    <mergeCell ref="O36:P36"/>
    <mergeCell ref="A1:R1"/>
    <mergeCell ref="A3:A13"/>
    <mergeCell ref="A15:A30"/>
    <mergeCell ref="P15:R15"/>
    <mergeCell ref="P23:R23"/>
    <mergeCell ref="P24:R24"/>
    <mergeCell ref="P26:R26"/>
    <mergeCell ref="P27:R27"/>
    <mergeCell ref="P29:R29"/>
  </mergeCells>
  <conditionalFormatting sqref="B4:B13">
    <cfRule type="duplicateValues" dxfId="10" priority="8"/>
  </conditionalFormatting>
  <conditionalFormatting sqref="N4:N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dataBar" priority="7">
      <dataBar>
        <cfvo type="min"/>
        <cfvo type="max"/>
        <color rgb="FF008AEF"/>
      </dataBar>
    </cfRule>
  </conditionalFormatting>
  <conditionalFormatting sqref="O4:O13">
    <cfRule type="cellIs" dxfId="9" priority="2" operator="equal">
      <formula>$B$40</formula>
    </cfRule>
    <cfRule type="cellIs" dxfId="8" priority="3" operator="equal">
      <formula>$B$41</formula>
    </cfRule>
    <cfRule type="cellIs" dxfId="7" priority="4" operator="equal">
      <formula>$B$42</formula>
    </cfRule>
  </conditionalFormatting>
  <conditionalFormatting sqref="B8">
    <cfRule type="duplicateValues" dxfId="6" priority="1"/>
  </conditionalFormatting>
  <dataValidations count="4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sqref="Q36">
      <formula1>$B$4:$B$13</formula1>
    </dataValidation>
    <dataValidation type="list" allowBlank="1" showInputMessage="1" showErrorMessage="1" sqref="R31 Q37:Q40">
      <formula1>$C$3:$R$3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rightToLeft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16.140625" bestFit="1" customWidth="1"/>
    <col min="8" max="8" width="13.5703125" customWidth="1"/>
    <col min="9" max="9" width="12" customWidth="1"/>
    <col min="10" max="10" width="8.42578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12.42578125" bestFit="1" customWidth="1"/>
    <col min="18" max="18" width="10.5703125" bestFit="1" customWidth="1"/>
    <col min="19" max="19" width="5" bestFit="1" customWidth="1"/>
  </cols>
  <sheetData>
    <row r="1" spans="1:19" ht="30.75">
      <c r="A1" s="288" t="s">
        <v>45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  <row r="2" spans="1:19" ht="13.5" thickBot="1"/>
    <row r="3" spans="1:19" s="3" customFormat="1" ht="37.5" customHeight="1" thickTop="1" thickBot="1">
      <c r="A3" s="289" t="s">
        <v>46</v>
      </c>
      <c r="B3" s="28" t="s">
        <v>41</v>
      </c>
      <c r="C3" s="27" t="s">
        <v>1</v>
      </c>
      <c r="D3" s="27" t="s">
        <v>8</v>
      </c>
      <c r="E3" s="27" t="s">
        <v>51</v>
      </c>
      <c r="F3" s="27" t="s">
        <v>50</v>
      </c>
      <c r="G3" s="27" t="s">
        <v>54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39</v>
      </c>
      <c r="Q3" s="40" t="s">
        <v>40</v>
      </c>
      <c r="R3" s="60" t="s">
        <v>59</v>
      </c>
      <c r="S3"/>
    </row>
    <row r="4" spans="1:19">
      <c r="A4" s="290"/>
      <c r="B4" s="29">
        <v>123456789</v>
      </c>
      <c r="C4" s="8" t="s">
        <v>2</v>
      </c>
      <c r="D4" s="8" t="s">
        <v>17</v>
      </c>
      <c r="E4" s="10">
        <v>9877665</v>
      </c>
      <c r="F4" s="13">
        <v>123</v>
      </c>
      <c r="G4" s="37" t="s">
        <v>55</v>
      </c>
      <c r="H4" s="8">
        <v>89</v>
      </c>
      <c r="I4" s="8">
        <v>86</v>
      </c>
      <c r="J4" s="8">
        <v>99</v>
      </c>
      <c r="K4" s="16">
        <f t="shared" ref="K4:K13" si="0">AVERAGE(H4:J4)</f>
        <v>91.333333333333329</v>
      </c>
      <c r="L4" s="8">
        <v>99</v>
      </c>
      <c r="M4" s="8">
        <v>80</v>
      </c>
      <c r="N4" s="19">
        <f t="shared" ref="N4:N13" si="1">ROUND(H4*$C$32+I4*$C$33+J4*$C$34+L4*$C$35+M4*$C$36,0)</f>
        <v>89</v>
      </c>
      <c r="O4" s="8" t="str">
        <f t="shared" ref="O4:O13" si="2">IF(N4&lt;$C$41,$B$40,IF(N4&lt;$C$42,$B$41,$B$42))</f>
        <v>מצטיין</v>
      </c>
      <c r="P4" s="8" t="str">
        <f t="shared" ref="P4:P13" si="3">IF(AND(D4=$C$46,O4=$B$42),"מלגה","")</f>
        <v/>
      </c>
      <c r="Q4" s="41" t="str">
        <f t="shared" ref="Q4:Q13" si="4">IF(OR(D4=$C$46,O4=$B$42),"מלגה","")</f>
        <v>מלגה</v>
      </c>
      <c r="R4" s="9" t="str">
        <f t="shared" ref="R4:R13" si="5">IF(NOT(N4&lt;$C$41),"מלגה","")</f>
        <v>מלגה</v>
      </c>
    </row>
    <row r="5" spans="1:19">
      <c r="A5" s="290"/>
      <c r="B5" s="30">
        <v>193878400</v>
      </c>
      <c r="C5" s="4" t="s">
        <v>3</v>
      </c>
      <c r="D5" s="4" t="s">
        <v>18</v>
      </c>
      <c r="E5" s="11">
        <v>9876544</v>
      </c>
      <c r="F5" s="14">
        <v>70000</v>
      </c>
      <c r="G5" s="38" t="s">
        <v>55</v>
      </c>
      <c r="H5" s="4">
        <v>81</v>
      </c>
      <c r="I5" s="4">
        <v>80</v>
      </c>
      <c r="J5" s="4">
        <v>82</v>
      </c>
      <c r="K5" s="17">
        <f t="shared" si="0"/>
        <v>81</v>
      </c>
      <c r="L5" s="4">
        <v>81</v>
      </c>
      <c r="M5" s="4">
        <v>81</v>
      </c>
      <c r="N5" s="20">
        <f t="shared" si="1"/>
        <v>81</v>
      </c>
      <c r="O5" s="4" t="str">
        <f t="shared" si="2"/>
        <v>עובר</v>
      </c>
      <c r="P5" s="4" t="str">
        <f t="shared" si="3"/>
        <v/>
      </c>
      <c r="Q5" s="42" t="str">
        <f t="shared" si="4"/>
        <v>מלגה</v>
      </c>
      <c r="R5" s="5" t="str">
        <f t="shared" si="5"/>
        <v>מלגה</v>
      </c>
    </row>
    <row r="6" spans="1:19">
      <c r="A6" s="290"/>
      <c r="B6" s="30">
        <v>244576280</v>
      </c>
      <c r="C6" s="4" t="s">
        <v>19</v>
      </c>
      <c r="D6" s="4" t="s">
        <v>18</v>
      </c>
      <c r="E6" s="11">
        <v>3252524</v>
      </c>
      <c r="F6" s="14">
        <v>44451</v>
      </c>
      <c r="G6" s="38" t="s">
        <v>0</v>
      </c>
      <c r="H6" s="4">
        <v>94</v>
      </c>
      <c r="I6" s="4">
        <v>100</v>
      </c>
      <c r="J6" s="4">
        <v>93</v>
      </c>
      <c r="K6" s="17">
        <f t="shared" si="0"/>
        <v>95.666666666666671</v>
      </c>
      <c r="L6" s="4">
        <v>95</v>
      </c>
      <c r="M6" s="4">
        <v>100</v>
      </c>
      <c r="N6" s="20">
        <f t="shared" si="1"/>
        <v>97</v>
      </c>
      <c r="O6" s="4" t="str">
        <f t="shared" si="2"/>
        <v>מצטיין</v>
      </c>
      <c r="P6" s="4" t="str">
        <f t="shared" si="3"/>
        <v>מלגה</v>
      </c>
      <c r="Q6" s="42" t="str">
        <f t="shared" si="4"/>
        <v>מלגה</v>
      </c>
      <c r="R6" s="5" t="str">
        <f t="shared" si="5"/>
        <v>מלגה</v>
      </c>
    </row>
    <row r="7" spans="1:19">
      <c r="A7" s="290"/>
      <c r="B7" s="30">
        <v>298754355</v>
      </c>
      <c r="C7" s="4" t="s">
        <v>6</v>
      </c>
      <c r="D7" s="4" t="s">
        <v>17</v>
      </c>
      <c r="E7" s="11">
        <v>8763456</v>
      </c>
      <c r="F7" s="14">
        <v>83934</v>
      </c>
      <c r="G7" s="38" t="s">
        <v>0</v>
      </c>
      <c r="H7" s="4">
        <v>88</v>
      </c>
      <c r="I7" s="4">
        <v>90</v>
      </c>
      <c r="J7" s="4">
        <v>74</v>
      </c>
      <c r="K7" s="17">
        <f t="shared" si="0"/>
        <v>84</v>
      </c>
      <c r="L7" s="4">
        <v>55</v>
      </c>
      <c r="M7" s="4">
        <v>45</v>
      </c>
      <c r="N7" s="20">
        <f t="shared" si="1"/>
        <v>60</v>
      </c>
      <c r="O7" s="4" t="str">
        <f t="shared" si="2"/>
        <v>עובר</v>
      </c>
      <c r="P7" s="4" t="str">
        <f t="shared" si="3"/>
        <v/>
      </c>
      <c r="Q7" s="42" t="str">
        <f t="shared" si="4"/>
        <v/>
      </c>
      <c r="R7" s="5" t="str">
        <f t="shared" si="5"/>
        <v>מלגה</v>
      </c>
    </row>
    <row r="8" spans="1:19">
      <c r="A8" s="290"/>
      <c r="B8" s="30">
        <v>388923057</v>
      </c>
      <c r="C8" s="4" t="s">
        <v>5</v>
      </c>
      <c r="D8" s="4" t="s">
        <v>18</v>
      </c>
      <c r="E8" s="11">
        <v>8743644</v>
      </c>
      <c r="F8" s="14">
        <v>44141</v>
      </c>
      <c r="G8" s="38" t="s">
        <v>0</v>
      </c>
      <c r="H8" s="4">
        <v>60</v>
      </c>
      <c r="I8" s="4">
        <v>100</v>
      </c>
      <c r="J8" s="4">
        <v>80</v>
      </c>
      <c r="K8" s="17">
        <f t="shared" si="0"/>
        <v>80</v>
      </c>
      <c r="L8" s="4">
        <v>40</v>
      </c>
      <c r="M8" s="4">
        <v>61</v>
      </c>
      <c r="N8" s="20">
        <f t="shared" si="1"/>
        <v>60</v>
      </c>
      <c r="O8" s="4" t="str">
        <f t="shared" si="2"/>
        <v>עובר</v>
      </c>
      <c r="P8" s="4" t="str">
        <f t="shared" si="3"/>
        <v/>
      </c>
      <c r="Q8" s="42" t="str">
        <f t="shared" si="4"/>
        <v>מלגה</v>
      </c>
      <c r="R8" s="5" t="str">
        <f t="shared" si="5"/>
        <v>מלגה</v>
      </c>
    </row>
    <row r="9" spans="1:19">
      <c r="A9" s="290"/>
      <c r="B9" s="30">
        <v>658370843</v>
      </c>
      <c r="C9" s="4" t="s">
        <v>4</v>
      </c>
      <c r="D9" s="4" t="s">
        <v>18</v>
      </c>
      <c r="E9" s="11">
        <v>2118758</v>
      </c>
      <c r="F9" s="14">
        <v>55326</v>
      </c>
      <c r="G9" s="38" t="s">
        <v>55</v>
      </c>
      <c r="H9" s="4">
        <v>67</v>
      </c>
      <c r="I9" s="4">
        <v>99</v>
      </c>
      <c r="J9" s="4">
        <v>69</v>
      </c>
      <c r="K9" s="17">
        <f t="shared" si="0"/>
        <v>78.333333333333329</v>
      </c>
      <c r="L9" s="4">
        <v>90</v>
      </c>
      <c r="M9" s="4">
        <v>85</v>
      </c>
      <c r="N9" s="20">
        <f t="shared" si="1"/>
        <v>85</v>
      </c>
      <c r="O9" s="4" t="str">
        <f t="shared" si="2"/>
        <v>מצטיין</v>
      </c>
      <c r="P9" s="4" t="str">
        <f t="shared" si="3"/>
        <v>מלגה</v>
      </c>
      <c r="Q9" s="42" t="str">
        <f t="shared" si="4"/>
        <v>מלגה</v>
      </c>
      <c r="R9" s="5" t="str">
        <f t="shared" si="5"/>
        <v>מלגה</v>
      </c>
    </row>
    <row r="10" spans="1:19">
      <c r="A10" s="290"/>
      <c r="B10" s="30">
        <v>830998987</v>
      </c>
      <c r="C10" s="4" t="s">
        <v>5</v>
      </c>
      <c r="D10" s="4" t="s">
        <v>18</v>
      </c>
      <c r="E10" s="11">
        <v>3527439</v>
      </c>
      <c r="F10" s="14">
        <v>56324</v>
      </c>
      <c r="G10" s="38" t="s">
        <v>55</v>
      </c>
      <c r="H10" s="4">
        <v>80</v>
      </c>
      <c r="I10" s="4"/>
      <c r="J10" s="4">
        <v>87</v>
      </c>
      <c r="K10" s="17">
        <f t="shared" si="0"/>
        <v>83.5</v>
      </c>
      <c r="L10" s="4">
        <v>90</v>
      </c>
      <c r="M10" s="4"/>
      <c r="N10" s="20">
        <f t="shared" si="1"/>
        <v>44</v>
      </c>
      <c r="O10" s="4" t="str">
        <f t="shared" si="2"/>
        <v>נכשל</v>
      </c>
      <c r="P10" s="4" t="str">
        <f t="shared" si="3"/>
        <v/>
      </c>
      <c r="Q10" s="42" t="str">
        <f t="shared" si="4"/>
        <v>מלגה</v>
      </c>
      <c r="R10" s="5" t="str">
        <f t="shared" si="5"/>
        <v/>
      </c>
    </row>
    <row r="11" spans="1:19">
      <c r="A11" s="290"/>
      <c r="B11" s="30">
        <v>947465892</v>
      </c>
      <c r="C11" s="4" t="s">
        <v>19</v>
      </c>
      <c r="D11" s="4" t="s">
        <v>17</v>
      </c>
      <c r="E11" s="11">
        <v>3434324</v>
      </c>
      <c r="F11" s="14">
        <v>41466</v>
      </c>
      <c r="G11" s="38" t="s">
        <v>0</v>
      </c>
      <c r="H11" s="4"/>
      <c r="I11" s="4">
        <v>79</v>
      </c>
      <c r="J11" s="4">
        <v>99</v>
      </c>
      <c r="K11" s="17">
        <f t="shared" si="0"/>
        <v>89</v>
      </c>
      <c r="L11" s="4">
        <v>86</v>
      </c>
      <c r="M11" s="4">
        <v>65</v>
      </c>
      <c r="N11" s="20">
        <f t="shared" si="1"/>
        <v>70</v>
      </c>
      <c r="O11" s="4" t="str">
        <f t="shared" si="2"/>
        <v>עובר</v>
      </c>
      <c r="P11" s="4" t="str">
        <f t="shared" si="3"/>
        <v/>
      </c>
      <c r="Q11" s="42" t="str">
        <f t="shared" si="4"/>
        <v/>
      </c>
      <c r="R11" s="5" t="str">
        <f t="shared" si="5"/>
        <v>מלגה</v>
      </c>
    </row>
    <row r="12" spans="1:19">
      <c r="A12" s="290"/>
      <c r="B12" s="30">
        <v>983687692</v>
      </c>
      <c r="C12" s="4" t="s">
        <v>7</v>
      </c>
      <c r="D12" s="4" t="s">
        <v>18</v>
      </c>
      <c r="E12" s="11">
        <v>6347234</v>
      </c>
      <c r="F12" s="14">
        <v>55235</v>
      </c>
      <c r="G12" s="38" t="s">
        <v>0</v>
      </c>
      <c r="H12" s="4">
        <v>45</v>
      </c>
      <c r="I12" s="4">
        <v>60</v>
      </c>
      <c r="J12" s="4"/>
      <c r="K12" s="17">
        <f t="shared" si="0"/>
        <v>52.5</v>
      </c>
      <c r="L12" s="4">
        <v>99</v>
      </c>
      <c r="M12" s="4">
        <v>94</v>
      </c>
      <c r="N12" s="20">
        <f t="shared" si="1"/>
        <v>78</v>
      </c>
      <c r="O12" s="4" t="str">
        <f t="shared" si="2"/>
        <v>עובר</v>
      </c>
      <c r="P12" s="4" t="str">
        <f t="shared" si="3"/>
        <v/>
      </c>
      <c r="Q12" s="42" t="str">
        <f t="shared" si="4"/>
        <v>מלגה</v>
      </c>
      <c r="R12" s="5" t="str">
        <f t="shared" si="5"/>
        <v>מלגה</v>
      </c>
    </row>
    <row r="13" spans="1:19" ht="13.5" thickBot="1">
      <c r="A13" s="291"/>
      <c r="B13" s="31">
        <v>987654321</v>
      </c>
      <c r="C13" s="6" t="s">
        <v>42</v>
      </c>
      <c r="D13" s="6" t="s">
        <v>17</v>
      </c>
      <c r="E13" s="12">
        <v>7563094</v>
      </c>
      <c r="F13" s="15">
        <v>86534</v>
      </c>
      <c r="G13" s="39" t="s">
        <v>55</v>
      </c>
      <c r="H13" s="6">
        <v>91</v>
      </c>
      <c r="I13" s="6">
        <v>79</v>
      </c>
      <c r="J13" s="6">
        <v>85</v>
      </c>
      <c r="K13" s="18">
        <f t="shared" si="0"/>
        <v>85</v>
      </c>
      <c r="L13" s="6">
        <v>100</v>
      </c>
      <c r="M13" s="6">
        <v>50</v>
      </c>
      <c r="N13" s="21">
        <f t="shared" si="1"/>
        <v>76</v>
      </c>
      <c r="O13" s="6" t="str">
        <f t="shared" si="2"/>
        <v>עובר</v>
      </c>
      <c r="P13" s="6" t="str">
        <f t="shared" si="3"/>
        <v/>
      </c>
      <c r="Q13" s="43" t="str">
        <f t="shared" si="4"/>
        <v/>
      </c>
      <c r="R13" s="7" t="str">
        <f t="shared" si="5"/>
        <v>מלגה</v>
      </c>
    </row>
    <row r="14" spans="1:19" ht="14.25" thickTop="1" thickBot="1">
      <c r="L14"/>
      <c r="M14"/>
    </row>
    <row r="15" spans="1:19" ht="12.75" customHeight="1" thickTop="1" thickBot="1">
      <c r="A15" s="294" t="s">
        <v>47</v>
      </c>
      <c r="B15" s="22" t="s">
        <v>20</v>
      </c>
      <c r="C15" s="22"/>
      <c r="D15" s="22"/>
      <c r="E15" s="22"/>
      <c r="F15" s="22"/>
      <c r="G15" s="22"/>
      <c r="H15" s="32">
        <f>AVERAGE(H4:H13)</f>
        <v>77.222222222222229</v>
      </c>
      <c r="I15" s="32">
        <f t="shared" ref="I15:N15" si="6">AVERAGE(I4:I13)</f>
        <v>85.888888888888886</v>
      </c>
      <c r="J15" s="32">
        <f t="shared" si="6"/>
        <v>85.333333333333329</v>
      </c>
      <c r="K15" s="32">
        <f t="shared" si="6"/>
        <v>82.033333333333331</v>
      </c>
      <c r="L15" s="32">
        <f t="shared" si="6"/>
        <v>83.5</v>
      </c>
      <c r="M15" s="32">
        <f t="shared" si="6"/>
        <v>73.444444444444443</v>
      </c>
      <c r="N15" s="33">
        <f t="shared" si="6"/>
        <v>74</v>
      </c>
      <c r="P15" s="298" t="s">
        <v>64</v>
      </c>
      <c r="Q15" s="299"/>
      <c r="R15" s="300"/>
    </row>
    <row r="16" spans="1:19">
      <c r="A16" s="295"/>
      <c r="B16" s="4" t="s">
        <v>21</v>
      </c>
      <c r="C16" s="4"/>
      <c r="D16" s="4"/>
      <c r="E16" s="4"/>
      <c r="F16" s="4"/>
      <c r="G16" s="4"/>
      <c r="H16" s="17">
        <f>MEDIAN(H4:H13)</f>
        <v>81</v>
      </c>
      <c r="I16" s="17">
        <f t="shared" ref="I16:N16" si="7">MEDIAN(I4:I13)</f>
        <v>86</v>
      </c>
      <c r="J16" s="17">
        <f t="shared" si="7"/>
        <v>85</v>
      </c>
      <c r="K16" s="17">
        <f t="shared" si="7"/>
        <v>83.75</v>
      </c>
      <c r="L16" s="17">
        <f t="shared" si="7"/>
        <v>90</v>
      </c>
      <c r="M16" s="17">
        <f t="shared" si="7"/>
        <v>80</v>
      </c>
      <c r="N16" s="25">
        <f t="shared" si="7"/>
        <v>77</v>
      </c>
      <c r="P16" s="55" t="s">
        <v>65</v>
      </c>
      <c r="Q16" s="8"/>
      <c r="R16" s="9"/>
    </row>
    <row r="17" spans="1:18">
      <c r="A17" s="295"/>
      <c r="B17" s="4" t="s">
        <v>22</v>
      </c>
      <c r="C17" s="4"/>
      <c r="D17" s="4"/>
      <c r="E17" s="4"/>
      <c r="F17" s="4"/>
      <c r="G17" s="4"/>
      <c r="H17" s="17" t="e">
        <f>MODE(H4:H13)</f>
        <v>#N/A</v>
      </c>
      <c r="I17" s="17">
        <f t="shared" ref="I17:N17" si="8">MODE(I4:I13)</f>
        <v>100</v>
      </c>
      <c r="J17" s="17">
        <f t="shared" si="8"/>
        <v>99</v>
      </c>
      <c r="K17" s="17" t="e">
        <f t="shared" si="8"/>
        <v>#N/A</v>
      </c>
      <c r="L17" s="17">
        <f t="shared" si="8"/>
        <v>99</v>
      </c>
      <c r="M17" s="17" t="e">
        <f t="shared" si="8"/>
        <v>#N/A</v>
      </c>
      <c r="N17" s="25">
        <f t="shared" si="8"/>
        <v>60</v>
      </c>
      <c r="P17" s="61" t="s">
        <v>66</v>
      </c>
      <c r="Q17" s="4"/>
      <c r="R17" s="9"/>
    </row>
    <row r="18" spans="1:18">
      <c r="A18" s="295"/>
      <c r="B18" s="4" t="s">
        <v>23</v>
      </c>
      <c r="C18" s="4"/>
      <c r="D18" s="4"/>
      <c r="E18" s="4"/>
      <c r="F18" s="4"/>
      <c r="G18" s="4"/>
      <c r="H18" s="17">
        <f>MAX(H4:H13)</f>
        <v>94</v>
      </c>
      <c r="I18" s="17">
        <f t="shared" ref="I18:N18" si="9">MAX(I4:I13)</f>
        <v>100</v>
      </c>
      <c r="J18" s="17">
        <f t="shared" si="9"/>
        <v>99</v>
      </c>
      <c r="K18" s="17">
        <f t="shared" si="9"/>
        <v>95.666666666666671</v>
      </c>
      <c r="L18" s="17">
        <f t="shared" si="9"/>
        <v>100</v>
      </c>
      <c r="M18" s="17">
        <f t="shared" si="9"/>
        <v>100</v>
      </c>
      <c r="N18" s="25">
        <f t="shared" si="9"/>
        <v>97</v>
      </c>
      <c r="P18" s="61" t="s">
        <v>67</v>
      </c>
      <c r="Q18" s="4"/>
      <c r="R18" s="9"/>
    </row>
    <row r="19" spans="1:18">
      <c r="A19" s="295"/>
      <c r="B19" s="4" t="s">
        <v>24</v>
      </c>
      <c r="C19" s="4"/>
      <c r="D19" s="4"/>
      <c r="E19" s="4"/>
      <c r="F19" s="4"/>
      <c r="G19" s="4"/>
      <c r="H19" s="17">
        <f>MIN(H4:H13)</f>
        <v>45</v>
      </c>
      <c r="I19" s="17">
        <f t="shared" ref="I19:N19" si="10">MIN(I4:I13)</f>
        <v>60</v>
      </c>
      <c r="J19" s="17">
        <f t="shared" si="10"/>
        <v>69</v>
      </c>
      <c r="K19" s="17">
        <f t="shared" si="10"/>
        <v>52.5</v>
      </c>
      <c r="L19" s="17">
        <f t="shared" si="10"/>
        <v>40</v>
      </c>
      <c r="M19" s="17">
        <f t="shared" si="10"/>
        <v>45</v>
      </c>
      <c r="N19" s="25">
        <f t="shared" si="10"/>
        <v>44</v>
      </c>
      <c r="P19" s="61" t="s">
        <v>68</v>
      </c>
      <c r="Q19" s="4"/>
      <c r="R19" s="5"/>
    </row>
    <row r="20" spans="1:18">
      <c r="A20" s="295"/>
      <c r="B20" s="4" t="s">
        <v>43</v>
      </c>
      <c r="C20" s="4"/>
      <c r="D20" s="4"/>
      <c r="E20" s="4"/>
      <c r="F20" s="4"/>
      <c r="G20" s="4"/>
      <c r="H20" s="17">
        <f>_xlfn.STDEV.P(H4:H13)</f>
        <v>15.59043708159145</v>
      </c>
      <c r="I20" s="17">
        <f t="shared" ref="I20:N20" si="11">_xlfn.STDEV.P(I4:I13)</f>
        <v>12.4136523808305</v>
      </c>
      <c r="J20" s="17">
        <f t="shared" si="11"/>
        <v>9.8319208025017506</v>
      </c>
      <c r="K20" s="17">
        <f t="shared" si="11"/>
        <v>11.076200712438522</v>
      </c>
      <c r="L20" s="17">
        <f t="shared" si="11"/>
        <v>19.200260414900626</v>
      </c>
      <c r="M20" s="17">
        <f t="shared" si="11"/>
        <v>18.093038017186554</v>
      </c>
      <c r="N20" s="25">
        <f t="shared" si="11"/>
        <v>15.006665185843255</v>
      </c>
      <c r="P20" s="61" t="s">
        <v>69</v>
      </c>
      <c r="Q20" s="4"/>
      <c r="R20" s="5"/>
    </row>
    <row r="21" spans="1:18" ht="13.5" thickBot="1">
      <c r="A21" s="295"/>
      <c r="B21" s="4" t="s">
        <v>44</v>
      </c>
      <c r="C21" s="4"/>
      <c r="D21" s="4"/>
      <c r="E21" s="4"/>
      <c r="F21" s="4"/>
      <c r="G21" s="4"/>
      <c r="H21" s="17">
        <f>_xlfn.VAR.P(H4:H13)</f>
        <v>243.06172839506172</v>
      </c>
      <c r="I21" s="17">
        <f t="shared" ref="I21:N21" si="12">_xlfn.VAR.P(I4:I13)</f>
        <v>154.09876543209876</v>
      </c>
      <c r="J21" s="17">
        <f t="shared" si="12"/>
        <v>96.666666666666671</v>
      </c>
      <c r="K21" s="17">
        <f t="shared" si="12"/>
        <v>122.68222222222364</v>
      </c>
      <c r="L21" s="17">
        <f t="shared" si="12"/>
        <v>368.65</v>
      </c>
      <c r="M21" s="17">
        <f t="shared" si="12"/>
        <v>327.35802469135803</v>
      </c>
      <c r="N21" s="25">
        <f t="shared" si="12"/>
        <v>225.2</v>
      </c>
      <c r="P21" s="57" t="s">
        <v>70</v>
      </c>
      <c r="Q21" s="54"/>
      <c r="R21" s="7"/>
    </row>
    <row r="22" spans="1:18" ht="14.25" thickTop="1" thickBot="1">
      <c r="A22" s="295"/>
      <c r="B22" s="4" t="s">
        <v>37</v>
      </c>
      <c r="C22" s="4"/>
      <c r="D22" s="4"/>
      <c r="E22" s="4"/>
      <c r="F22" s="4"/>
      <c r="G22" s="4"/>
      <c r="H22" s="4">
        <f>COUNT(H4:H13)</f>
        <v>9</v>
      </c>
      <c r="I22" s="4">
        <f t="shared" ref="I22:N22" si="13">COUNT(I4:I13)</f>
        <v>9</v>
      </c>
      <c r="J22" s="4">
        <f t="shared" si="13"/>
        <v>9</v>
      </c>
      <c r="K22" s="4">
        <f t="shared" si="13"/>
        <v>10</v>
      </c>
      <c r="L22" s="4">
        <f t="shared" si="13"/>
        <v>10</v>
      </c>
      <c r="M22" s="4">
        <f t="shared" si="13"/>
        <v>9</v>
      </c>
      <c r="N22" s="5">
        <f t="shared" si="13"/>
        <v>10</v>
      </c>
    </row>
    <row r="23" spans="1:18" ht="26.25" customHeight="1" thickTop="1">
      <c r="A23" s="295"/>
      <c r="B23" s="4" t="s">
        <v>25</v>
      </c>
      <c r="C23" s="4"/>
      <c r="D23" s="4"/>
      <c r="E23" s="4"/>
      <c r="F23" s="4"/>
      <c r="G23" s="4"/>
      <c r="H23" s="4">
        <f>COUNTIF(H4:H13,"&lt;"&amp;$C$41)</f>
        <v>1</v>
      </c>
      <c r="I23" s="4">
        <f t="shared" ref="I23:N23" si="14">COUNTIF(I4:I13,"&lt;"&amp;$C$41)</f>
        <v>0</v>
      </c>
      <c r="J23" s="4">
        <f t="shared" si="14"/>
        <v>0</v>
      </c>
      <c r="K23" s="4">
        <f t="shared" si="14"/>
        <v>1</v>
      </c>
      <c r="L23" s="4">
        <f t="shared" si="14"/>
        <v>2</v>
      </c>
      <c r="M23" s="4">
        <f t="shared" si="14"/>
        <v>2</v>
      </c>
      <c r="N23" s="24">
        <f t="shared" si="14"/>
        <v>1</v>
      </c>
      <c r="P23" s="301" t="s">
        <v>170</v>
      </c>
      <c r="Q23" s="302"/>
      <c r="R23" s="303"/>
    </row>
    <row r="24" spans="1:18" ht="13.5" thickBot="1">
      <c r="A24" s="295"/>
      <c r="B24" s="4" t="s">
        <v>52</v>
      </c>
      <c r="C24" s="4"/>
      <c r="D24" s="4"/>
      <c r="E24" s="4"/>
      <c r="F24" s="4"/>
      <c r="G24" s="4"/>
      <c r="H24" s="4">
        <f>COUNTIFS(H4:H13,"&gt;="&amp;$C$41,H4:H13,"&lt;"&amp;$C$42)</f>
        <v>4</v>
      </c>
      <c r="I24" s="4">
        <f t="shared" ref="I24:N24" si="15">COUNTIFS(I4:I13,"&gt;="&amp;$C$41,I4:I13,"&lt;"&amp;$C$42)</f>
        <v>4</v>
      </c>
      <c r="J24" s="4">
        <f t="shared" si="15"/>
        <v>4</v>
      </c>
      <c r="K24" s="4">
        <f t="shared" si="15"/>
        <v>5</v>
      </c>
      <c r="L24" s="4">
        <f t="shared" si="15"/>
        <v>1</v>
      </c>
      <c r="M24" s="4">
        <f t="shared" si="15"/>
        <v>4</v>
      </c>
      <c r="N24" s="24">
        <f t="shared" si="15"/>
        <v>6</v>
      </c>
      <c r="P24" s="304" t="str">
        <f>LOOKUP(388923057,B4:B13,C4:C13)</f>
        <v>מיכל</v>
      </c>
      <c r="Q24" s="305"/>
      <c r="R24" s="306"/>
    </row>
    <row r="25" spans="1:18" ht="14.25" thickTop="1" thickBot="1">
      <c r="A25" s="295"/>
      <c r="B25" s="4" t="s">
        <v>53</v>
      </c>
      <c r="C25" s="4"/>
      <c r="D25" s="4"/>
      <c r="E25" s="4"/>
      <c r="F25" s="4"/>
      <c r="G25" s="4"/>
      <c r="H25" s="4">
        <f>COUNTIF(H4:H13,E42)</f>
        <v>4</v>
      </c>
      <c r="I25" s="4">
        <f t="shared" ref="I25:N25" si="16">COUNTIF(I4:I13,"&gt;="&amp;$C$42)</f>
        <v>5</v>
      </c>
      <c r="J25" s="4">
        <f t="shared" si="16"/>
        <v>5</v>
      </c>
      <c r="K25" s="4">
        <f t="shared" si="16"/>
        <v>4</v>
      </c>
      <c r="L25" s="4">
        <f t="shared" si="16"/>
        <v>7</v>
      </c>
      <c r="M25" s="4">
        <f t="shared" si="16"/>
        <v>3</v>
      </c>
      <c r="N25" s="24">
        <f t="shared" si="16"/>
        <v>3</v>
      </c>
    </row>
    <row r="26" spans="1:18" ht="13.5" thickTop="1">
      <c r="A26" s="295"/>
      <c r="B26" s="38" t="s">
        <v>60</v>
      </c>
      <c r="C26" s="4" t="str">
        <f>B45</f>
        <v>סטודנטים</v>
      </c>
      <c r="D26" s="4"/>
      <c r="E26" s="4"/>
      <c r="F26" s="4"/>
      <c r="G26" s="4"/>
      <c r="H26" s="4">
        <f>COUNTIFS($D$4:$D$13,$C$45,H4:H13,"&gt;="&amp;$C$42)</f>
        <v>3</v>
      </c>
      <c r="I26" s="4">
        <f t="shared" ref="I26:N26" si="17">COUNTIFS($D$4:$D$13,$C$45,I4:I13,"&gt;="&amp;$C$42)</f>
        <v>2</v>
      </c>
      <c r="J26" s="4">
        <f t="shared" si="17"/>
        <v>3</v>
      </c>
      <c r="K26" s="4">
        <f t="shared" si="17"/>
        <v>3</v>
      </c>
      <c r="L26" s="4">
        <f t="shared" si="17"/>
        <v>3</v>
      </c>
      <c r="M26" s="4">
        <f t="shared" si="17"/>
        <v>0</v>
      </c>
      <c r="N26" s="5">
        <f t="shared" si="17"/>
        <v>1</v>
      </c>
      <c r="P26" s="307" t="s">
        <v>171</v>
      </c>
      <c r="Q26" s="308"/>
      <c r="R26" s="278"/>
    </row>
    <row r="27" spans="1:18" ht="13.5" thickBot="1">
      <c r="A27" s="296"/>
      <c r="B27" s="44"/>
      <c r="C27" s="4" t="str">
        <f>B46</f>
        <v>סטודנטיות</v>
      </c>
      <c r="D27" s="44"/>
      <c r="E27" s="44"/>
      <c r="F27" s="44"/>
      <c r="G27" s="44"/>
      <c r="H27" s="44">
        <f>COUNTIFS($D$4:$D$13,$C$46,H4:H13,$E$42)</f>
        <v>1</v>
      </c>
      <c r="I27" s="44">
        <f t="shared" ref="I27:N27" si="18">COUNTIFS($D$4:$D$13,$C$46,I4:I13,$E$42)</f>
        <v>3</v>
      </c>
      <c r="J27" s="44">
        <f t="shared" si="18"/>
        <v>2</v>
      </c>
      <c r="K27" s="44">
        <f t="shared" si="18"/>
        <v>1</v>
      </c>
      <c r="L27" s="44">
        <f t="shared" si="18"/>
        <v>4</v>
      </c>
      <c r="M27" s="44">
        <f t="shared" si="18"/>
        <v>3</v>
      </c>
      <c r="N27" s="45">
        <f t="shared" si="18"/>
        <v>2</v>
      </c>
      <c r="P27" s="304">
        <f>MATCH(E3,B3:R3,0)</f>
        <v>4</v>
      </c>
      <c r="Q27" s="305"/>
      <c r="R27" s="306"/>
    </row>
    <row r="28" spans="1:18" ht="14.25" thickTop="1" thickBot="1">
      <c r="A28" s="296"/>
      <c r="B28" s="44" t="s">
        <v>38</v>
      </c>
      <c r="C28" s="44"/>
      <c r="D28" s="44">
        <f>COUNTA(C4:C13)</f>
        <v>10</v>
      </c>
      <c r="E28" s="44"/>
      <c r="F28" s="44"/>
      <c r="G28" s="48" t="s">
        <v>63</v>
      </c>
      <c r="H28" s="49">
        <f>AVERAGEIFS(H4:H13,H4:H13,"&gt;="&amp;$C$41,H4:H13,"&lt;"&amp;$C$42)</f>
        <v>72</v>
      </c>
      <c r="I28" s="49">
        <f t="shared" ref="I28:N28" si="19">AVERAGEIFS(I4:I13,I4:I13,"&gt;="&amp;$C$41,I4:I13,"&lt;"&amp;$C$42)</f>
        <v>74.5</v>
      </c>
      <c r="J28" s="49">
        <f t="shared" si="19"/>
        <v>76.25</v>
      </c>
      <c r="K28" s="49">
        <f t="shared" si="19"/>
        <v>81.36666666666666</v>
      </c>
      <c r="L28" s="49">
        <f t="shared" si="19"/>
        <v>81</v>
      </c>
      <c r="M28" s="49">
        <f t="shared" si="19"/>
        <v>71.75</v>
      </c>
      <c r="N28" s="50">
        <f t="shared" si="19"/>
        <v>70.833333333333329</v>
      </c>
    </row>
    <row r="29" spans="1:18" ht="13.5" thickTop="1">
      <c r="A29" s="296"/>
      <c r="B29" s="38" t="s">
        <v>60</v>
      </c>
      <c r="C29" s="44" t="str">
        <f>B45</f>
        <v>סטודנטים</v>
      </c>
      <c r="D29" s="44">
        <f>COUNTIF(D4:D13,C45)</f>
        <v>4</v>
      </c>
      <c r="E29" s="44"/>
      <c r="F29" s="44"/>
      <c r="G29" s="47" t="s">
        <v>62</v>
      </c>
      <c r="H29" s="49">
        <f>AVERAGEIF($D$4:$D$13,$C45,H$4:H$13)</f>
        <v>89.333333333333329</v>
      </c>
      <c r="I29" s="49">
        <f t="shared" ref="I29:N29" si="20">AVERAGEIF($D$4:$D$13,$C45,I$4:I$13)</f>
        <v>83.5</v>
      </c>
      <c r="J29" s="49">
        <f t="shared" si="20"/>
        <v>89.25</v>
      </c>
      <c r="K29" s="49">
        <f t="shared" si="20"/>
        <v>87.333333333333329</v>
      </c>
      <c r="L29" s="49">
        <f t="shared" si="20"/>
        <v>85</v>
      </c>
      <c r="M29" s="49">
        <f t="shared" si="20"/>
        <v>60</v>
      </c>
      <c r="N29" s="50">
        <f t="shared" si="20"/>
        <v>73.75</v>
      </c>
      <c r="P29" s="283" t="s">
        <v>83</v>
      </c>
      <c r="Q29" s="284"/>
      <c r="R29" s="285"/>
    </row>
    <row r="30" spans="1:18" ht="13.5" thickBot="1">
      <c r="A30" s="297"/>
      <c r="B30" s="6"/>
      <c r="C30" s="6" t="str">
        <f>B46</f>
        <v>סטודנטיות</v>
      </c>
      <c r="D30" s="6">
        <f>COUNTIF(D4:D13,C46)</f>
        <v>6</v>
      </c>
      <c r="E30" s="6"/>
      <c r="F30" s="6"/>
      <c r="G30" s="6" t="s">
        <v>62</v>
      </c>
      <c r="H30" s="51">
        <f t="shared" ref="H30:N30" si="21">AVERAGEIF($D$4:$D$13,$C46,H$4:H$13)</f>
        <v>71.166666666666671</v>
      </c>
      <c r="I30" s="53">
        <f t="shared" si="21"/>
        <v>87.8</v>
      </c>
      <c r="J30" s="51">
        <f t="shared" si="21"/>
        <v>82.2</v>
      </c>
      <c r="K30" s="51">
        <f t="shared" si="21"/>
        <v>78.5</v>
      </c>
      <c r="L30" s="51">
        <f t="shared" si="21"/>
        <v>82.5</v>
      </c>
      <c r="M30" s="51">
        <f t="shared" si="21"/>
        <v>84.2</v>
      </c>
      <c r="N30" s="52">
        <f t="shared" si="21"/>
        <v>74.166666666666671</v>
      </c>
      <c r="P30" s="279" t="s">
        <v>172</v>
      </c>
      <c r="Q30" s="280"/>
      <c r="R30" s="62">
        <v>3434324</v>
      </c>
    </row>
    <row r="31" spans="1:18" ht="14.25" thickTop="1" thickBot="1">
      <c r="L31"/>
      <c r="M31"/>
      <c r="P31" s="279" t="s">
        <v>80</v>
      </c>
      <c r="Q31" s="280"/>
      <c r="R31" s="5" t="s">
        <v>1</v>
      </c>
    </row>
    <row r="32" spans="1:18" ht="14.25" thickTop="1" thickBot="1">
      <c r="A32" s="274" t="s">
        <v>48</v>
      </c>
      <c r="B32" s="22" t="s">
        <v>26</v>
      </c>
      <c r="C32" s="34">
        <v>0.1</v>
      </c>
      <c r="L32"/>
      <c r="M32"/>
      <c r="P32" s="281" t="s">
        <v>81</v>
      </c>
      <c r="Q32" s="282"/>
      <c r="R32" s="7" t="str">
        <f>INDEX(B4:R13,MATCH(R30,E4:E13,0),MATCH(R31,B3:R3,0))</f>
        <v>שחר</v>
      </c>
    </row>
    <row r="33" spans="1:18" ht="13.5" thickTop="1">
      <c r="A33" s="275"/>
      <c r="B33" s="4" t="s">
        <v>27</v>
      </c>
      <c r="C33" s="35">
        <v>0.1</v>
      </c>
      <c r="G33" s="318" t="s">
        <v>195</v>
      </c>
      <c r="H33" s="318" t="s">
        <v>194</v>
      </c>
      <c r="L33"/>
      <c r="M33"/>
    </row>
    <row r="34" spans="1:18" ht="13.5" thickBot="1">
      <c r="A34" s="275"/>
      <c r="B34" s="4" t="s">
        <v>28</v>
      </c>
      <c r="C34" s="35">
        <v>0.1</v>
      </c>
      <c r="G34" s="318" t="s">
        <v>187</v>
      </c>
      <c r="H34" t="s">
        <v>17</v>
      </c>
      <c r="I34" t="s">
        <v>18</v>
      </c>
      <c r="J34" t="s">
        <v>193</v>
      </c>
      <c r="L34"/>
      <c r="M34"/>
    </row>
    <row r="35" spans="1:18" ht="13.5" thickTop="1">
      <c r="A35" s="275"/>
      <c r="B35" s="4" t="s">
        <v>29</v>
      </c>
      <c r="C35" s="35">
        <v>0.3</v>
      </c>
      <c r="G35" s="1" t="s">
        <v>0</v>
      </c>
      <c r="H35" s="319">
        <v>65</v>
      </c>
      <c r="I35" s="319">
        <v>78.333333333333329</v>
      </c>
      <c r="J35" s="319">
        <v>73</v>
      </c>
      <c r="L35"/>
      <c r="M35"/>
      <c r="O35" s="283" t="s">
        <v>82</v>
      </c>
      <c r="P35" s="284"/>
      <c r="Q35" s="284"/>
      <c r="R35" s="285"/>
    </row>
    <row r="36" spans="1:18">
      <c r="A36" s="275"/>
      <c r="B36" s="4" t="s">
        <v>30</v>
      </c>
      <c r="C36" s="35">
        <v>0.4</v>
      </c>
      <c r="G36" s="1" t="s">
        <v>55</v>
      </c>
      <c r="H36" s="319">
        <v>82.5</v>
      </c>
      <c r="I36" s="319">
        <v>70</v>
      </c>
      <c r="J36" s="319">
        <v>75</v>
      </c>
      <c r="L36"/>
      <c r="M36"/>
      <c r="O36" s="286" t="s">
        <v>79</v>
      </c>
      <c r="P36" s="287"/>
      <c r="Q36" s="67">
        <v>123456789</v>
      </c>
      <c r="R36" s="68"/>
    </row>
    <row r="37" spans="1:18" ht="13.5" thickBot="1">
      <c r="A37" s="276"/>
      <c r="B37" s="6" t="s">
        <v>31</v>
      </c>
      <c r="C37" s="36">
        <f>SUM(C32:C36)</f>
        <v>1</v>
      </c>
      <c r="G37" s="1" t="s">
        <v>193</v>
      </c>
      <c r="H37" s="319">
        <v>73.75</v>
      </c>
      <c r="I37" s="319">
        <v>74.166666666666671</v>
      </c>
      <c r="J37" s="319">
        <v>74</v>
      </c>
      <c r="L37"/>
      <c r="M37"/>
      <c r="O37" s="189" t="s">
        <v>80</v>
      </c>
      <c r="P37" s="190"/>
      <c r="Q37" s="4" t="s">
        <v>12</v>
      </c>
      <c r="R37" s="25">
        <f>VLOOKUP($Q$36,$B$3:$R$13,MATCH(Q37,$B$3:$R$3,0),FALSE)</f>
        <v>91.333333333333329</v>
      </c>
    </row>
    <row r="38" spans="1:18" ht="12.75" customHeight="1" thickTop="1" thickBot="1">
      <c r="L38"/>
      <c r="M38"/>
      <c r="O38" s="189" t="s">
        <v>80</v>
      </c>
      <c r="P38" s="190"/>
      <c r="Q38" s="4" t="s">
        <v>13</v>
      </c>
      <c r="R38" s="5">
        <f>VLOOKUP($Q$36,$B$3:$R$13,MATCH(Q38,$B$3:$R$3,0),FALSE)</f>
        <v>99</v>
      </c>
    </row>
    <row r="39" spans="1:18" ht="13.5" thickTop="1">
      <c r="A39" s="274" t="s">
        <v>49</v>
      </c>
      <c r="B39" s="22"/>
      <c r="C39" s="22" t="s">
        <v>32</v>
      </c>
      <c r="D39" s="23" t="s">
        <v>33</v>
      </c>
      <c r="L39"/>
      <c r="O39" s="189" t="s">
        <v>80</v>
      </c>
      <c r="P39" s="190"/>
      <c r="Q39" s="4" t="s">
        <v>14</v>
      </c>
      <c r="R39" s="5">
        <f>VLOOKUP($Q$36,$B$3:$R$13,MATCH(Q39,$B$3:$R$3,0),FALSE)</f>
        <v>80</v>
      </c>
    </row>
    <row r="40" spans="1:18" ht="13.5" thickBot="1">
      <c r="A40" s="275"/>
      <c r="B40" s="4" t="s">
        <v>34</v>
      </c>
      <c r="C40" s="17">
        <v>0</v>
      </c>
      <c r="D40" s="25">
        <v>59.49</v>
      </c>
      <c r="E40" s="2"/>
      <c r="F40" s="2"/>
      <c r="L40"/>
      <c r="O40" s="65" t="s">
        <v>80</v>
      </c>
      <c r="P40" s="66"/>
      <c r="Q40" s="6" t="s">
        <v>15</v>
      </c>
      <c r="R40" s="7">
        <f>VLOOKUP($Q$36,$B$3:$R$13,MATCH(Q40,$B$3:$R$3,0),FALSE)</f>
        <v>89</v>
      </c>
    </row>
    <row r="41" spans="1:18" ht="13.5" thickTop="1">
      <c r="A41" s="275"/>
      <c r="B41" s="4" t="s">
        <v>35</v>
      </c>
      <c r="C41" s="17">
        <v>59.5</v>
      </c>
      <c r="D41" s="25">
        <v>84.49</v>
      </c>
      <c r="E41" s="2"/>
      <c r="F41" s="2"/>
      <c r="L41"/>
    </row>
    <row r="42" spans="1:18" ht="13.5" thickBot="1">
      <c r="A42" s="276"/>
      <c r="B42" s="6" t="s">
        <v>36</v>
      </c>
      <c r="C42" s="18">
        <f>84.5</f>
        <v>84.5</v>
      </c>
      <c r="D42" s="26">
        <v>100</v>
      </c>
      <c r="E42" s="46" t="s">
        <v>61</v>
      </c>
      <c r="F42" s="2"/>
      <c r="L42"/>
    </row>
    <row r="43" spans="1:18" ht="14.25" thickTop="1" thickBot="1"/>
    <row r="44" spans="1:18" ht="13.5" thickTop="1">
      <c r="A44" s="274" t="s">
        <v>58</v>
      </c>
      <c r="B44" s="277" t="s">
        <v>8</v>
      </c>
      <c r="C44" s="278"/>
    </row>
    <row r="45" spans="1:18">
      <c r="A45" s="275"/>
      <c r="B45" s="4" t="s">
        <v>56</v>
      </c>
      <c r="C45" s="25" t="s">
        <v>17</v>
      </c>
    </row>
    <row r="46" spans="1:18" ht="13.5" thickBot="1">
      <c r="A46" s="276"/>
      <c r="B46" s="6" t="s">
        <v>57</v>
      </c>
      <c r="C46" s="26" t="s">
        <v>18</v>
      </c>
    </row>
    <row r="47" spans="1:18" ht="13.5" thickTop="1"/>
  </sheetData>
  <mergeCells count="18">
    <mergeCell ref="A39:A42"/>
    <mergeCell ref="A44:A46"/>
    <mergeCell ref="B44:C44"/>
    <mergeCell ref="P30:Q30"/>
    <mergeCell ref="P31:Q31"/>
    <mergeCell ref="A32:A37"/>
    <mergeCell ref="P32:Q32"/>
    <mergeCell ref="O35:R35"/>
    <mergeCell ref="O36:P36"/>
    <mergeCell ref="A1:R1"/>
    <mergeCell ref="A3:A13"/>
    <mergeCell ref="A15:A30"/>
    <mergeCell ref="P15:R15"/>
    <mergeCell ref="P23:R23"/>
    <mergeCell ref="P24:R24"/>
    <mergeCell ref="P26:R26"/>
    <mergeCell ref="P27:R27"/>
    <mergeCell ref="P29:R29"/>
  </mergeCells>
  <conditionalFormatting sqref="B4:B13">
    <cfRule type="duplicateValues" dxfId="5" priority="8"/>
  </conditionalFormatting>
  <conditionalFormatting sqref="N4:N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dataBar" priority="7">
      <dataBar>
        <cfvo type="min"/>
        <cfvo type="max"/>
        <color rgb="FF008AEF"/>
      </dataBar>
    </cfRule>
  </conditionalFormatting>
  <conditionalFormatting sqref="O4:O13">
    <cfRule type="cellIs" dxfId="4" priority="2" operator="equal">
      <formula>$B$40</formula>
    </cfRule>
    <cfRule type="cellIs" dxfId="3" priority="3" operator="equal">
      <formula>$B$41</formula>
    </cfRule>
    <cfRule type="cellIs" dxfId="2" priority="4" operator="equal">
      <formula>$B$42</formula>
    </cfRule>
  </conditionalFormatting>
  <conditionalFormatting sqref="B8">
    <cfRule type="duplicateValues" dxfId="1" priority="1"/>
  </conditionalFormatting>
  <dataValidations count="4">
    <dataValidation type="list" allowBlank="1" showInputMessage="1" showErrorMessage="1" sqref="R31 Q37:Q40">
      <formula1>$C$3:$R$3</formula1>
    </dataValidation>
    <dataValidation type="list" allowBlank="1" showInputMessage="1" showErrorMessage="1" sqref="Q36">
      <formula1>$B$4:$B$13</formula1>
    </dataValidation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2"/>
  <headerFooter alignWithMargins="0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workbookViewId="0">
      <selection sqref="A1:I1"/>
    </sheetView>
  </sheetViews>
  <sheetFormatPr defaultRowHeight="12.75"/>
  <cols>
    <col min="1" max="1" width="24" style="191" bestFit="1" customWidth="1"/>
    <col min="2" max="2" width="10.28515625" style="191" bestFit="1" customWidth="1"/>
    <col min="3" max="3" width="8.5703125" style="191" customWidth="1"/>
    <col min="4" max="4" width="8.5703125" style="191" bestFit="1" customWidth="1"/>
    <col min="5" max="5" width="5.7109375" style="191" bestFit="1" customWidth="1"/>
    <col min="6" max="6" width="8.42578125" style="191" bestFit="1" customWidth="1"/>
    <col min="7" max="7" width="10.140625" style="191" bestFit="1" customWidth="1"/>
    <col min="8" max="8" width="7.28515625" style="191" bestFit="1" customWidth="1"/>
    <col min="9" max="9" width="8.85546875" style="191" bestFit="1" customWidth="1"/>
    <col min="10" max="257" width="9.140625" style="191"/>
    <col min="258" max="258" width="24" style="191" bestFit="1" customWidth="1"/>
    <col min="259" max="259" width="10.28515625" style="191" bestFit="1" customWidth="1"/>
    <col min="260" max="260" width="8.5703125" style="191" bestFit="1" customWidth="1"/>
    <col min="261" max="261" width="5.7109375" style="191" bestFit="1" customWidth="1"/>
    <col min="262" max="262" width="8.42578125" style="191" bestFit="1" customWidth="1"/>
    <col min="263" max="263" width="10.140625" style="191" bestFit="1" customWidth="1"/>
    <col min="264" max="264" width="7.28515625" style="191" bestFit="1" customWidth="1"/>
    <col min="265" max="265" width="8.85546875" style="191" bestFit="1" customWidth="1"/>
    <col min="266" max="513" width="9.140625" style="191"/>
    <col min="514" max="514" width="24" style="191" bestFit="1" customWidth="1"/>
    <col min="515" max="515" width="10.28515625" style="191" bestFit="1" customWidth="1"/>
    <col min="516" max="516" width="8.5703125" style="191" bestFit="1" customWidth="1"/>
    <col min="517" max="517" width="5.7109375" style="191" bestFit="1" customWidth="1"/>
    <col min="518" max="518" width="8.42578125" style="191" bestFit="1" customWidth="1"/>
    <col min="519" max="519" width="10.140625" style="191" bestFit="1" customWidth="1"/>
    <col min="520" max="520" width="7.28515625" style="191" bestFit="1" customWidth="1"/>
    <col min="521" max="521" width="8.85546875" style="191" bestFit="1" customWidth="1"/>
    <col min="522" max="769" width="9.140625" style="191"/>
    <col min="770" max="770" width="24" style="191" bestFit="1" customWidth="1"/>
    <col min="771" max="771" width="10.28515625" style="191" bestFit="1" customWidth="1"/>
    <col min="772" max="772" width="8.5703125" style="191" bestFit="1" customWidth="1"/>
    <col min="773" max="773" width="5.7109375" style="191" bestFit="1" customWidth="1"/>
    <col min="774" max="774" width="8.42578125" style="191" bestFit="1" customWidth="1"/>
    <col min="775" max="775" width="10.140625" style="191" bestFit="1" customWidth="1"/>
    <col min="776" max="776" width="7.28515625" style="191" bestFit="1" customWidth="1"/>
    <col min="777" max="777" width="8.85546875" style="191" bestFit="1" customWidth="1"/>
    <col min="778" max="1025" width="9.140625" style="191"/>
    <col min="1026" max="1026" width="24" style="191" bestFit="1" customWidth="1"/>
    <col min="1027" max="1027" width="10.28515625" style="191" bestFit="1" customWidth="1"/>
    <col min="1028" max="1028" width="8.5703125" style="191" bestFit="1" customWidth="1"/>
    <col min="1029" max="1029" width="5.7109375" style="191" bestFit="1" customWidth="1"/>
    <col min="1030" max="1030" width="8.42578125" style="191" bestFit="1" customWidth="1"/>
    <col min="1031" max="1031" width="10.140625" style="191" bestFit="1" customWidth="1"/>
    <col min="1032" max="1032" width="7.28515625" style="191" bestFit="1" customWidth="1"/>
    <col min="1033" max="1033" width="8.85546875" style="191" bestFit="1" customWidth="1"/>
    <col min="1034" max="1281" width="9.140625" style="191"/>
    <col min="1282" max="1282" width="24" style="191" bestFit="1" customWidth="1"/>
    <col min="1283" max="1283" width="10.28515625" style="191" bestFit="1" customWidth="1"/>
    <col min="1284" max="1284" width="8.5703125" style="191" bestFit="1" customWidth="1"/>
    <col min="1285" max="1285" width="5.7109375" style="191" bestFit="1" customWidth="1"/>
    <col min="1286" max="1286" width="8.42578125" style="191" bestFit="1" customWidth="1"/>
    <col min="1287" max="1287" width="10.140625" style="191" bestFit="1" customWidth="1"/>
    <col min="1288" max="1288" width="7.28515625" style="191" bestFit="1" customWidth="1"/>
    <col min="1289" max="1289" width="8.85546875" style="191" bestFit="1" customWidth="1"/>
    <col min="1290" max="1537" width="9.140625" style="191"/>
    <col min="1538" max="1538" width="24" style="191" bestFit="1" customWidth="1"/>
    <col min="1539" max="1539" width="10.28515625" style="191" bestFit="1" customWidth="1"/>
    <col min="1540" max="1540" width="8.5703125" style="191" bestFit="1" customWidth="1"/>
    <col min="1541" max="1541" width="5.7109375" style="191" bestFit="1" customWidth="1"/>
    <col min="1542" max="1542" width="8.42578125" style="191" bestFit="1" customWidth="1"/>
    <col min="1543" max="1543" width="10.140625" style="191" bestFit="1" customWidth="1"/>
    <col min="1544" max="1544" width="7.28515625" style="191" bestFit="1" customWidth="1"/>
    <col min="1545" max="1545" width="8.85546875" style="191" bestFit="1" customWidth="1"/>
    <col min="1546" max="1793" width="9.140625" style="191"/>
    <col min="1794" max="1794" width="24" style="191" bestFit="1" customWidth="1"/>
    <col min="1795" max="1795" width="10.28515625" style="191" bestFit="1" customWidth="1"/>
    <col min="1796" max="1796" width="8.5703125" style="191" bestFit="1" customWidth="1"/>
    <col min="1797" max="1797" width="5.7109375" style="191" bestFit="1" customWidth="1"/>
    <col min="1798" max="1798" width="8.42578125" style="191" bestFit="1" customWidth="1"/>
    <col min="1799" max="1799" width="10.140625" style="191" bestFit="1" customWidth="1"/>
    <col min="1800" max="1800" width="7.28515625" style="191" bestFit="1" customWidth="1"/>
    <col min="1801" max="1801" width="8.85546875" style="191" bestFit="1" customWidth="1"/>
    <col min="1802" max="2049" width="9.140625" style="191"/>
    <col min="2050" max="2050" width="24" style="191" bestFit="1" customWidth="1"/>
    <col min="2051" max="2051" width="10.28515625" style="191" bestFit="1" customWidth="1"/>
    <col min="2052" max="2052" width="8.5703125" style="191" bestFit="1" customWidth="1"/>
    <col min="2053" max="2053" width="5.7109375" style="191" bestFit="1" customWidth="1"/>
    <col min="2054" max="2054" width="8.42578125" style="191" bestFit="1" customWidth="1"/>
    <col min="2055" max="2055" width="10.140625" style="191" bestFit="1" customWidth="1"/>
    <col min="2056" max="2056" width="7.28515625" style="191" bestFit="1" customWidth="1"/>
    <col min="2057" max="2057" width="8.85546875" style="191" bestFit="1" customWidth="1"/>
    <col min="2058" max="2305" width="9.140625" style="191"/>
    <col min="2306" max="2306" width="24" style="191" bestFit="1" customWidth="1"/>
    <col min="2307" max="2307" width="10.28515625" style="191" bestFit="1" customWidth="1"/>
    <col min="2308" max="2308" width="8.5703125" style="191" bestFit="1" customWidth="1"/>
    <col min="2309" max="2309" width="5.7109375" style="191" bestFit="1" customWidth="1"/>
    <col min="2310" max="2310" width="8.42578125" style="191" bestFit="1" customWidth="1"/>
    <col min="2311" max="2311" width="10.140625" style="191" bestFit="1" customWidth="1"/>
    <col min="2312" max="2312" width="7.28515625" style="191" bestFit="1" customWidth="1"/>
    <col min="2313" max="2313" width="8.85546875" style="191" bestFit="1" customWidth="1"/>
    <col min="2314" max="2561" width="9.140625" style="191"/>
    <col min="2562" max="2562" width="24" style="191" bestFit="1" customWidth="1"/>
    <col min="2563" max="2563" width="10.28515625" style="191" bestFit="1" customWidth="1"/>
    <col min="2564" max="2564" width="8.5703125" style="191" bestFit="1" customWidth="1"/>
    <col min="2565" max="2565" width="5.7109375" style="191" bestFit="1" customWidth="1"/>
    <col min="2566" max="2566" width="8.42578125" style="191" bestFit="1" customWidth="1"/>
    <col min="2567" max="2567" width="10.140625" style="191" bestFit="1" customWidth="1"/>
    <col min="2568" max="2568" width="7.28515625" style="191" bestFit="1" customWidth="1"/>
    <col min="2569" max="2569" width="8.85546875" style="191" bestFit="1" customWidth="1"/>
    <col min="2570" max="2817" width="9.140625" style="191"/>
    <col min="2818" max="2818" width="24" style="191" bestFit="1" customWidth="1"/>
    <col min="2819" max="2819" width="10.28515625" style="191" bestFit="1" customWidth="1"/>
    <col min="2820" max="2820" width="8.5703125" style="191" bestFit="1" customWidth="1"/>
    <col min="2821" max="2821" width="5.7109375" style="191" bestFit="1" customWidth="1"/>
    <col min="2822" max="2822" width="8.42578125" style="191" bestFit="1" customWidth="1"/>
    <col min="2823" max="2823" width="10.140625" style="191" bestFit="1" customWidth="1"/>
    <col min="2824" max="2824" width="7.28515625" style="191" bestFit="1" customWidth="1"/>
    <col min="2825" max="2825" width="8.85546875" style="191" bestFit="1" customWidth="1"/>
    <col min="2826" max="3073" width="9.140625" style="191"/>
    <col min="3074" max="3074" width="24" style="191" bestFit="1" customWidth="1"/>
    <col min="3075" max="3075" width="10.28515625" style="191" bestFit="1" customWidth="1"/>
    <col min="3076" max="3076" width="8.5703125" style="191" bestFit="1" customWidth="1"/>
    <col min="3077" max="3077" width="5.7109375" style="191" bestFit="1" customWidth="1"/>
    <col min="3078" max="3078" width="8.42578125" style="191" bestFit="1" customWidth="1"/>
    <col min="3079" max="3079" width="10.140625" style="191" bestFit="1" customWidth="1"/>
    <col min="3080" max="3080" width="7.28515625" style="191" bestFit="1" customWidth="1"/>
    <col min="3081" max="3081" width="8.85546875" style="191" bestFit="1" customWidth="1"/>
    <col min="3082" max="3329" width="9.140625" style="191"/>
    <col min="3330" max="3330" width="24" style="191" bestFit="1" customWidth="1"/>
    <col min="3331" max="3331" width="10.28515625" style="191" bestFit="1" customWidth="1"/>
    <col min="3332" max="3332" width="8.5703125" style="191" bestFit="1" customWidth="1"/>
    <col min="3333" max="3333" width="5.7109375" style="191" bestFit="1" customWidth="1"/>
    <col min="3334" max="3334" width="8.42578125" style="191" bestFit="1" customWidth="1"/>
    <col min="3335" max="3335" width="10.140625" style="191" bestFit="1" customWidth="1"/>
    <col min="3336" max="3336" width="7.28515625" style="191" bestFit="1" customWidth="1"/>
    <col min="3337" max="3337" width="8.85546875" style="191" bestFit="1" customWidth="1"/>
    <col min="3338" max="3585" width="9.140625" style="191"/>
    <col min="3586" max="3586" width="24" style="191" bestFit="1" customWidth="1"/>
    <col min="3587" max="3587" width="10.28515625" style="191" bestFit="1" customWidth="1"/>
    <col min="3588" max="3588" width="8.5703125" style="191" bestFit="1" customWidth="1"/>
    <col min="3589" max="3589" width="5.7109375" style="191" bestFit="1" customWidth="1"/>
    <col min="3590" max="3590" width="8.42578125" style="191" bestFit="1" customWidth="1"/>
    <col min="3591" max="3591" width="10.140625" style="191" bestFit="1" customWidth="1"/>
    <col min="3592" max="3592" width="7.28515625" style="191" bestFit="1" customWidth="1"/>
    <col min="3593" max="3593" width="8.85546875" style="191" bestFit="1" customWidth="1"/>
    <col min="3594" max="3841" width="9.140625" style="191"/>
    <col min="3842" max="3842" width="24" style="191" bestFit="1" customWidth="1"/>
    <col min="3843" max="3843" width="10.28515625" style="191" bestFit="1" customWidth="1"/>
    <col min="3844" max="3844" width="8.5703125" style="191" bestFit="1" customWidth="1"/>
    <col min="3845" max="3845" width="5.7109375" style="191" bestFit="1" customWidth="1"/>
    <col min="3846" max="3846" width="8.42578125" style="191" bestFit="1" customWidth="1"/>
    <col min="3847" max="3847" width="10.140625" style="191" bestFit="1" customWidth="1"/>
    <col min="3848" max="3848" width="7.28515625" style="191" bestFit="1" customWidth="1"/>
    <col min="3849" max="3849" width="8.85546875" style="191" bestFit="1" customWidth="1"/>
    <col min="3850" max="4097" width="9.140625" style="191"/>
    <col min="4098" max="4098" width="24" style="191" bestFit="1" customWidth="1"/>
    <col min="4099" max="4099" width="10.28515625" style="191" bestFit="1" customWidth="1"/>
    <col min="4100" max="4100" width="8.5703125" style="191" bestFit="1" customWidth="1"/>
    <col min="4101" max="4101" width="5.7109375" style="191" bestFit="1" customWidth="1"/>
    <col min="4102" max="4102" width="8.42578125" style="191" bestFit="1" customWidth="1"/>
    <col min="4103" max="4103" width="10.140625" style="191" bestFit="1" customWidth="1"/>
    <col min="4104" max="4104" width="7.28515625" style="191" bestFit="1" customWidth="1"/>
    <col min="4105" max="4105" width="8.85546875" style="191" bestFit="1" customWidth="1"/>
    <col min="4106" max="4353" width="9.140625" style="191"/>
    <col min="4354" max="4354" width="24" style="191" bestFit="1" customWidth="1"/>
    <col min="4355" max="4355" width="10.28515625" style="191" bestFit="1" customWidth="1"/>
    <col min="4356" max="4356" width="8.5703125" style="191" bestFit="1" customWidth="1"/>
    <col min="4357" max="4357" width="5.7109375" style="191" bestFit="1" customWidth="1"/>
    <col min="4358" max="4358" width="8.42578125" style="191" bestFit="1" customWidth="1"/>
    <col min="4359" max="4359" width="10.140625" style="191" bestFit="1" customWidth="1"/>
    <col min="4360" max="4360" width="7.28515625" style="191" bestFit="1" customWidth="1"/>
    <col min="4361" max="4361" width="8.85546875" style="191" bestFit="1" customWidth="1"/>
    <col min="4362" max="4609" width="9.140625" style="191"/>
    <col min="4610" max="4610" width="24" style="191" bestFit="1" customWidth="1"/>
    <col min="4611" max="4611" width="10.28515625" style="191" bestFit="1" customWidth="1"/>
    <col min="4612" max="4612" width="8.5703125" style="191" bestFit="1" customWidth="1"/>
    <col min="4613" max="4613" width="5.7109375" style="191" bestFit="1" customWidth="1"/>
    <col min="4614" max="4614" width="8.42578125" style="191" bestFit="1" customWidth="1"/>
    <col min="4615" max="4615" width="10.140625" style="191" bestFit="1" customWidth="1"/>
    <col min="4616" max="4616" width="7.28515625" style="191" bestFit="1" customWidth="1"/>
    <col min="4617" max="4617" width="8.85546875" style="191" bestFit="1" customWidth="1"/>
    <col min="4618" max="4865" width="9.140625" style="191"/>
    <col min="4866" max="4866" width="24" style="191" bestFit="1" customWidth="1"/>
    <col min="4867" max="4867" width="10.28515625" style="191" bestFit="1" customWidth="1"/>
    <col min="4868" max="4868" width="8.5703125" style="191" bestFit="1" customWidth="1"/>
    <col min="4869" max="4869" width="5.7109375" style="191" bestFit="1" customWidth="1"/>
    <col min="4870" max="4870" width="8.42578125" style="191" bestFit="1" customWidth="1"/>
    <col min="4871" max="4871" width="10.140625" style="191" bestFit="1" customWidth="1"/>
    <col min="4872" max="4872" width="7.28515625" style="191" bestFit="1" customWidth="1"/>
    <col min="4873" max="4873" width="8.85546875" style="191" bestFit="1" customWidth="1"/>
    <col min="4874" max="5121" width="9.140625" style="191"/>
    <col min="5122" max="5122" width="24" style="191" bestFit="1" customWidth="1"/>
    <col min="5123" max="5123" width="10.28515625" style="191" bestFit="1" customWidth="1"/>
    <col min="5124" max="5124" width="8.5703125" style="191" bestFit="1" customWidth="1"/>
    <col min="5125" max="5125" width="5.7109375" style="191" bestFit="1" customWidth="1"/>
    <col min="5126" max="5126" width="8.42578125" style="191" bestFit="1" customWidth="1"/>
    <col min="5127" max="5127" width="10.140625" style="191" bestFit="1" customWidth="1"/>
    <col min="5128" max="5128" width="7.28515625" style="191" bestFit="1" customWidth="1"/>
    <col min="5129" max="5129" width="8.85546875" style="191" bestFit="1" customWidth="1"/>
    <col min="5130" max="5377" width="9.140625" style="191"/>
    <col min="5378" max="5378" width="24" style="191" bestFit="1" customWidth="1"/>
    <col min="5379" max="5379" width="10.28515625" style="191" bestFit="1" customWidth="1"/>
    <col min="5380" max="5380" width="8.5703125" style="191" bestFit="1" customWidth="1"/>
    <col min="5381" max="5381" width="5.7109375" style="191" bestFit="1" customWidth="1"/>
    <col min="5382" max="5382" width="8.42578125" style="191" bestFit="1" customWidth="1"/>
    <col min="5383" max="5383" width="10.140625" style="191" bestFit="1" customWidth="1"/>
    <col min="5384" max="5384" width="7.28515625" style="191" bestFit="1" customWidth="1"/>
    <col min="5385" max="5385" width="8.85546875" style="191" bestFit="1" customWidth="1"/>
    <col min="5386" max="5633" width="9.140625" style="191"/>
    <col min="5634" max="5634" width="24" style="191" bestFit="1" customWidth="1"/>
    <col min="5635" max="5635" width="10.28515625" style="191" bestFit="1" customWidth="1"/>
    <col min="5636" max="5636" width="8.5703125" style="191" bestFit="1" customWidth="1"/>
    <col min="5637" max="5637" width="5.7109375" style="191" bestFit="1" customWidth="1"/>
    <col min="5638" max="5638" width="8.42578125" style="191" bestFit="1" customWidth="1"/>
    <col min="5639" max="5639" width="10.140625" style="191" bestFit="1" customWidth="1"/>
    <col min="5640" max="5640" width="7.28515625" style="191" bestFit="1" customWidth="1"/>
    <col min="5641" max="5641" width="8.85546875" style="191" bestFit="1" customWidth="1"/>
    <col min="5642" max="5889" width="9.140625" style="191"/>
    <col min="5890" max="5890" width="24" style="191" bestFit="1" customWidth="1"/>
    <col min="5891" max="5891" width="10.28515625" style="191" bestFit="1" customWidth="1"/>
    <col min="5892" max="5892" width="8.5703125" style="191" bestFit="1" customWidth="1"/>
    <col min="5893" max="5893" width="5.7109375" style="191" bestFit="1" customWidth="1"/>
    <col min="5894" max="5894" width="8.42578125" style="191" bestFit="1" customWidth="1"/>
    <col min="5895" max="5895" width="10.140625" style="191" bestFit="1" customWidth="1"/>
    <col min="5896" max="5896" width="7.28515625" style="191" bestFit="1" customWidth="1"/>
    <col min="5897" max="5897" width="8.85546875" style="191" bestFit="1" customWidth="1"/>
    <col min="5898" max="6145" width="9.140625" style="191"/>
    <col min="6146" max="6146" width="24" style="191" bestFit="1" customWidth="1"/>
    <col min="6147" max="6147" width="10.28515625" style="191" bestFit="1" customWidth="1"/>
    <col min="6148" max="6148" width="8.5703125" style="191" bestFit="1" customWidth="1"/>
    <col min="6149" max="6149" width="5.7109375" style="191" bestFit="1" customWidth="1"/>
    <col min="6150" max="6150" width="8.42578125" style="191" bestFit="1" customWidth="1"/>
    <col min="6151" max="6151" width="10.140625" style="191" bestFit="1" customWidth="1"/>
    <col min="6152" max="6152" width="7.28515625" style="191" bestFit="1" customWidth="1"/>
    <col min="6153" max="6153" width="8.85546875" style="191" bestFit="1" customWidth="1"/>
    <col min="6154" max="6401" width="9.140625" style="191"/>
    <col min="6402" max="6402" width="24" style="191" bestFit="1" customWidth="1"/>
    <col min="6403" max="6403" width="10.28515625" style="191" bestFit="1" customWidth="1"/>
    <col min="6404" max="6404" width="8.5703125" style="191" bestFit="1" customWidth="1"/>
    <col min="6405" max="6405" width="5.7109375" style="191" bestFit="1" customWidth="1"/>
    <col min="6406" max="6406" width="8.42578125" style="191" bestFit="1" customWidth="1"/>
    <col min="6407" max="6407" width="10.140625" style="191" bestFit="1" customWidth="1"/>
    <col min="6408" max="6408" width="7.28515625" style="191" bestFit="1" customWidth="1"/>
    <col min="6409" max="6409" width="8.85546875" style="191" bestFit="1" customWidth="1"/>
    <col min="6410" max="6657" width="9.140625" style="191"/>
    <col min="6658" max="6658" width="24" style="191" bestFit="1" customWidth="1"/>
    <col min="6659" max="6659" width="10.28515625" style="191" bestFit="1" customWidth="1"/>
    <col min="6660" max="6660" width="8.5703125" style="191" bestFit="1" customWidth="1"/>
    <col min="6661" max="6661" width="5.7109375" style="191" bestFit="1" customWidth="1"/>
    <col min="6662" max="6662" width="8.42578125" style="191" bestFit="1" customWidth="1"/>
    <col min="6663" max="6663" width="10.140625" style="191" bestFit="1" customWidth="1"/>
    <col min="6664" max="6664" width="7.28515625" style="191" bestFit="1" customWidth="1"/>
    <col min="6665" max="6665" width="8.85546875" style="191" bestFit="1" customWidth="1"/>
    <col min="6666" max="6913" width="9.140625" style="191"/>
    <col min="6914" max="6914" width="24" style="191" bestFit="1" customWidth="1"/>
    <col min="6915" max="6915" width="10.28515625" style="191" bestFit="1" customWidth="1"/>
    <col min="6916" max="6916" width="8.5703125" style="191" bestFit="1" customWidth="1"/>
    <col min="6917" max="6917" width="5.7109375" style="191" bestFit="1" customWidth="1"/>
    <col min="6918" max="6918" width="8.42578125" style="191" bestFit="1" customWidth="1"/>
    <col min="6919" max="6919" width="10.140625" style="191" bestFit="1" customWidth="1"/>
    <col min="6920" max="6920" width="7.28515625" style="191" bestFit="1" customWidth="1"/>
    <col min="6921" max="6921" width="8.85546875" style="191" bestFit="1" customWidth="1"/>
    <col min="6922" max="7169" width="9.140625" style="191"/>
    <col min="7170" max="7170" width="24" style="191" bestFit="1" customWidth="1"/>
    <col min="7171" max="7171" width="10.28515625" style="191" bestFit="1" customWidth="1"/>
    <col min="7172" max="7172" width="8.5703125" style="191" bestFit="1" customWidth="1"/>
    <col min="7173" max="7173" width="5.7109375" style="191" bestFit="1" customWidth="1"/>
    <col min="7174" max="7174" width="8.42578125" style="191" bestFit="1" customWidth="1"/>
    <col min="7175" max="7175" width="10.140625" style="191" bestFit="1" customWidth="1"/>
    <col min="7176" max="7176" width="7.28515625" style="191" bestFit="1" customWidth="1"/>
    <col min="7177" max="7177" width="8.85546875" style="191" bestFit="1" customWidth="1"/>
    <col min="7178" max="7425" width="9.140625" style="191"/>
    <col min="7426" max="7426" width="24" style="191" bestFit="1" customWidth="1"/>
    <col min="7427" max="7427" width="10.28515625" style="191" bestFit="1" customWidth="1"/>
    <col min="7428" max="7428" width="8.5703125" style="191" bestFit="1" customWidth="1"/>
    <col min="7429" max="7429" width="5.7109375" style="191" bestFit="1" customWidth="1"/>
    <col min="7430" max="7430" width="8.42578125" style="191" bestFit="1" customWidth="1"/>
    <col min="7431" max="7431" width="10.140625" style="191" bestFit="1" customWidth="1"/>
    <col min="7432" max="7432" width="7.28515625" style="191" bestFit="1" customWidth="1"/>
    <col min="7433" max="7433" width="8.85546875" style="191" bestFit="1" customWidth="1"/>
    <col min="7434" max="7681" width="9.140625" style="191"/>
    <col min="7682" max="7682" width="24" style="191" bestFit="1" customWidth="1"/>
    <col min="7683" max="7683" width="10.28515625" style="191" bestFit="1" customWidth="1"/>
    <col min="7684" max="7684" width="8.5703125" style="191" bestFit="1" customWidth="1"/>
    <col min="7685" max="7685" width="5.7109375" style="191" bestFit="1" customWidth="1"/>
    <col min="7686" max="7686" width="8.42578125" style="191" bestFit="1" customWidth="1"/>
    <col min="7687" max="7687" width="10.140625" style="191" bestFit="1" customWidth="1"/>
    <col min="7688" max="7688" width="7.28515625" style="191" bestFit="1" customWidth="1"/>
    <col min="7689" max="7689" width="8.85546875" style="191" bestFit="1" customWidth="1"/>
    <col min="7690" max="7937" width="9.140625" style="191"/>
    <col min="7938" max="7938" width="24" style="191" bestFit="1" customWidth="1"/>
    <col min="7939" max="7939" width="10.28515625" style="191" bestFit="1" customWidth="1"/>
    <col min="7940" max="7940" width="8.5703125" style="191" bestFit="1" customWidth="1"/>
    <col min="7941" max="7941" width="5.7109375" style="191" bestFit="1" customWidth="1"/>
    <col min="7942" max="7942" width="8.42578125" style="191" bestFit="1" customWidth="1"/>
    <col min="7943" max="7943" width="10.140625" style="191" bestFit="1" customWidth="1"/>
    <col min="7944" max="7944" width="7.28515625" style="191" bestFit="1" customWidth="1"/>
    <col min="7945" max="7945" width="8.85546875" style="191" bestFit="1" customWidth="1"/>
    <col min="7946" max="8193" width="9.140625" style="191"/>
    <col min="8194" max="8194" width="24" style="191" bestFit="1" customWidth="1"/>
    <col min="8195" max="8195" width="10.28515625" style="191" bestFit="1" customWidth="1"/>
    <col min="8196" max="8196" width="8.5703125" style="191" bestFit="1" customWidth="1"/>
    <col min="8197" max="8197" width="5.7109375" style="191" bestFit="1" customWidth="1"/>
    <col min="8198" max="8198" width="8.42578125" style="191" bestFit="1" customWidth="1"/>
    <col min="8199" max="8199" width="10.140625" style="191" bestFit="1" customWidth="1"/>
    <col min="8200" max="8200" width="7.28515625" style="191" bestFit="1" customWidth="1"/>
    <col min="8201" max="8201" width="8.85546875" style="191" bestFit="1" customWidth="1"/>
    <col min="8202" max="8449" width="9.140625" style="191"/>
    <col min="8450" max="8450" width="24" style="191" bestFit="1" customWidth="1"/>
    <col min="8451" max="8451" width="10.28515625" style="191" bestFit="1" customWidth="1"/>
    <col min="8452" max="8452" width="8.5703125" style="191" bestFit="1" customWidth="1"/>
    <col min="8453" max="8453" width="5.7109375" style="191" bestFit="1" customWidth="1"/>
    <col min="8454" max="8454" width="8.42578125" style="191" bestFit="1" customWidth="1"/>
    <col min="8455" max="8455" width="10.140625" style="191" bestFit="1" customWidth="1"/>
    <col min="8456" max="8456" width="7.28515625" style="191" bestFit="1" customWidth="1"/>
    <col min="8457" max="8457" width="8.85546875" style="191" bestFit="1" customWidth="1"/>
    <col min="8458" max="8705" width="9.140625" style="191"/>
    <col min="8706" max="8706" width="24" style="191" bestFit="1" customWidth="1"/>
    <col min="8707" max="8707" width="10.28515625" style="191" bestFit="1" customWidth="1"/>
    <col min="8708" max="8708" width="8.5703125" style="191" bestFit="1" customWidth="1"/>
    <col min="8709" max="8709" width="5.7109375" style="191" bestFit="1" customWidth="1"/>
    <col min="8710" max="8710" width="8.42578125" style="191" bestFit="1" customWidth="1"/>
    <col min="8711" max="8711" width="10.140625" style="191" bestFit="1" customWidth="1"/>
    <col min="8712" max="8712" width="7.28515625" style="191" bestFit="1" customWidth="1"/>
    <col min="8713" max="8713" width="8.85546875" style="191" bestFit="1" customWidth="1"/>
    <col min="8714" max="8961" width="9.140625" style="191"/>
    <col min="8962" max="8962" width="24" style="191" bestFit="1" customWidth="1"/>
    <col min="8963" max="8963" width="10.28515625" style="191" bestFit="1" customWidth="1"/>
    <col min="8964" max="8964" width="8.5703125" style="191" bestFit="1" customWidth="1"/>
    <col min="8965" max="8965" width="5.7109375" style="191" bestFit="1" customWidth="1"/>
    <col min="8966" max="8966" width="8.42578125" style="191" bestFit="1" customWidth="1"/>
    <col min="8967" max="8967" width="10.140625" style="191" bestFit="1" customWidth="1"/>
    <col min="8968" max="8968" width="7.28515625" style="191" bestFit="1" customWidth="1"/>
    <col min="8969" max="8969" width="8.85546875" style="191" bestFit="1" customWidth="1"/>
    <col min="8970" max="9217" width="9.140625" style="191"/>
    <col min="9218" max="9218" width="24" style="191" bestFit="1" customWidth="1"/>
    <col min="9219" max="9219" width="10.28515625" style="191" bestFit="1" customWidth="1"/>
    <col min="9220" max="9220" width="8.5703125" style="191" bestFit="1" customWidth="1"/>
    <col min="9221" max="9221" width="5.7109375" style="191" bestFit="1" customWidth="1"/>
    <col min="9222" max="9222" width="8.42578125" style="191" bestFit="1" customWidth="1"/>
    <col min="9223" max="9223" width="10.140625" style="191" bestFit="1" customWidth="1"/>
    <col min="9224" max="9224" width="7.28515625" style="191" bestFit="1" customWidth="1"/>
    <col min="9225" max="9225" width="8.85546875" style="191" bestFit="1" customWidth="1"/>
    <col min="9226" max="9473" width="9.140625" style="191"/>
    <col min="9474" max="9474" width="24" style="191" bestFit="1" customWidth="1"/>
    <col min="9475" max="9475" width="10.28515625" style="191" bestFit="1" customWidth="1"/>
    <col min="9476" max="9476" width="8.5703125" style="191" bestFit="1" customWidth="1"/>
    <col min="9477" max="9477" width="5.7109375" style="191" bestFit="1" customWidth="1"/>
    <col min="9478" max="9478" width="8.42578125" style="191" bestFit="1" customWidth="1"/>
    <col min="9479" max="9479" width="10.140625" style="191" bestFit="1" customWidth="1"/>
    <col min="9480" max="9480" width="7.28515625" style="191" bestFit="1" customWidth="1"/>
    <col min="9481" max="9481" width="8.85546875" style="191" bestFit="1" customWidth="1"/>
    <col min="9482" max="9729" width="9.140625" style="191"/>
    <col min="9730" max="9730" width="24" style="191" bestFit="1" customWidth="1"/>
    <col min="9731" max="9731" width="10.28515625" style="191" bestFit="1" customWidth="1"/>
    <col min="9732" max="9732" width="8.5703125" style="191" bestFit="1" customWidth="1"/>
    <col min="9733" max="9733" width="5.7109375" style="191" bestFit="1" customWidth="1"/>
    <col min="9734" max="9734" width="8.42578125" style="191" bestFit="1" customWidth="1"/>
    <col min="9735" max="9735" width="10.140625" style="191" bestFit="1" customWidth="1"/>
    <col min="9736" max="9736" width="7.28515625" style="191" bestFit="1" customWidth="1"/>
    <col min="9737" max="9737" width="8.85546875" style="191" bestFit="1" customWidth="1"/>
    <col min="9738" max="9985" width="9.140625" style="191"/>
    <col min="9986" max="9986" width="24" style="191" bestFit="1" customWidth="1"/>
    <col min="9987" max="9987" width="10.28515625" style="191" bestFit="1" customWidth="1"/>
    <col min="9988" max="9988" width="8.5703125" style="191" bestFit="1" customWidth="1"/>
    <col min="9989" max="9989" width="5.7109375" style="191" bestFit="1" customWidth="1"/>
    <col min="9990" max="9990" width="8.42578125" style="191" bestFit="1" customWidth="1"/>
    <col min="9991" max="9991" width="10.140625" style="191" bestFit="1" customWidth="1"/>
    <col min="9992" max="9992" width="7.28515625" style="191" bestFit="1" customWidth="1"/>
    <col min="9993" max="9993" width="8.85546875" style="191" bestFit="1" customWidth="1"/>
    <col min="9994" max="10241" width="9.140625" style="191"/>
    <col min="10242" max="10242" width="24" style="191" bestFit="1" customWidth="1"/>
    <col min="10243" max="10243" width="10.28515625" style="191" bestFit="1" customWidth="1"/>
    <col min="10244" max="10244" width="8.5703125" style="191" bestFit="1" customWidth="1"/>
    <col min="10245" max="10245" width="5.7109375" style="191" bestFit="1" customWidth="1"/>
    <col min="10246" max="10246" width="8.42578125" style="191" bestFit="1" customWidth="1"/>
    <col min="10247" max="10247" width="10.140625" style="191" bestFit="1" customWidth="1"/>
    <col min="10248" max="10248" width="7.28515625" style="191" bestFit="1" customWidth="1"/>
    <col min="10249" max="10249" width="8.85546875" style="191" bestFit="1" customWidth="1"/>
    <col min="10250" max="10497" width="9.140625" style="191"/>
    <col min="10498" max="10498" width="24" style="191" bestFit="1" customWidth="1"/>
    <col min="10499" max="10499" width="10.28515625" style="191" bestFit="1" customWidth="1"/>
    <col min="10500" max="10500" width="8.5703125" style="191" bestFit="1" customWidth="1"/>
    <col min="10501" max="10501" width="5.7109375" style="191" bestFit="1" customWidth="1"/>
    <col min="10502" max="10502" width="8.42578125" style="191" bestFit="1" customWidth="1"/>
    <col min="10503" max="10503" width="10.140625" style="191" bestFit="1" customWidth="1"/>
    <col min="10504" max="10504" width="7.28515625" style="191" bestFit="1" customWidth="1"/>
    <col min="10505" max="10505" width="8.85546875" style="191" bestFit="1" customWidth="1"/>
    <col min="10506" max="10753" width="9.140625" style="191"/>
    <col min="10754" max="10754" width="24" style="191" bestFit="1" customWidth="1"/>
    <col min="10755" max="10755" width="10.28515625" style="191" bestFit="1" customWidth="1"/>
    <col min="10756" max="10756" width="8.5703125" style="191" bestFit="1" customWidth="1"/>
    <col min="10757" max="10757" width="5.7109375" style="191" bestFit="1" customWidth="1"/>
    <col min="10758" max="10758" width="8.42578125" style="191" bestFit="1" customWidth="1"/>
    <col min="10759" max="10759" width="10.140625" style="191" bestFit="1" customWidth="1"/>
    <col min="10760" max="10760" width="7.28515625" style="191" bestFit="1" customWidth="1"/>
    <col min="10761" max="10761" width="8.85546875" style="191" bestFit="1" customWidth="1"/>
    <col min="10762" max="11009" width="9.140625" style="191"/>
    <col min="11010" max="11010" width="24" style="191" bestFit="1" customWidth="1"/>
    <col min="11011" max="11011" width="10.28515625" style="191" bestFit="1" customWidth="1"/>
    <col min="11012" max="11012" width="8.5703125" style="191" bestFit="1" customWidth="1"/>
    <col min="11013" max="11013" width="5.7109375" style="191" bestFit="1" customWidth="1"/>
    <col min="11014" max="11014" width="8.42578125" style="191" bestFit="1" customWidth="1"/>
    <col min="11015" max="11015" width="10.140625" style="191" bestFit="1" customWidth="1"/>
    <col min="11016" max="11016" width="7.28515625" style="191" bestFit="1" customWidth="1"/>
    <col min="11017" max="11017" width="8.85546875" style="191" bestFit="1" customWidth="1"/>
    <col min="11018" max="11265" width="9.140625" style="191"/>
    <col min="11266" max="11266" width="24" style="191" bestFit="1" customWidth="1"/>
    <col min="11267" max="11267" width="10.28515625" style="191" bestFit="1" customWidth="1"/>
    <col min="11268" max="11268" width="8.5703125" style="191" bestFit="1" customWidth="1"/>
    <col min="11269" max="11269" width="5.7109375" style="191" bestFit="1" customWidth="1"/>
    <col min="11270" max="11270" width="8.42578125" style="191" bestFit="1" customWidth="1"/>
    <col min="11271" max="11271" width="10.140625" style="191" bestFit="1" customWidth="1"/>
    <col min="11272" max="11272" width="7.28515625" style="191" bestFit="1" customWidth="1"/>
    <col min="11273" max="11273" width="8.85546875" style="191" bestFit="1" customWidth="1"/>
    <col min="11274" max="11521" width="9.140625" style="191"/>
    <col min="11522" max="11522" width="24" style="191" bestFit="1" customWidth="1"/>
    <col min="11523" max="11523" width="10.28515625" style="191" bestFit="1" customWidth="1"/>
    <col min="11524" max="11524" width="8.5703125" style="191" bestFit="1" customWidth="1"/>
    <col min="11525" max="11525" width="5.7109375" style="191" bestFit="1" customWidth="1"/>
    <col min="11526" max="11526" width="8.42578125" style="191" bestFit="1" customWidth="1"/>
    <col min="11527" max="11527" width="10.140625" style="191" bestFit="1" customWidth="1"/>
    <col min="11528" max="11528" width="7.28515625" style="191" bestFit="1" customWidth="1"/>
    <col min="11529" max="11529" width="8.85546875" style="191" bestFit="1" customWidth="1"/>
    <col min="11530" max="11777" width="9.140625" style="191"/>
    <col min="11778" max="11778" width="24" style="191" bestFit="1" customWidth="1"/>
    <col min="11779" max="11779" width="10.28515625" style="191" bestFit="1" customWidth="1"/>
    <col min="11780" max="11780" width="8.5703125" style="191" bestFit="1" customWidth="1"/>
    <col min="11781" max="11781" width="5.7109375" style="191" bestFit="1" customWidth="1"/>
    <col min="11782" max="11782" width="8.42578125" style="191" bestFit="1" customWidth="1"/>
    <col min="11783" max="11783" width="10.140625" style="191" bestFit="1" customWidth="1"/>
    <col min="11784" max="11784" width="7.28515625" style="191" bestFit="1" customWidth="1"/>
    <col min="11785" max="11785" width="8.85546875" style="191" bestFit="1" customWidth="1"/>
    <col min="11786" max="12033" width="9.140625" style="191"/>
    <col min="12034" max="12034" width="24" style="191" bestFit="1" customWidth="1"/>
    <col min="12035" max="12035" width="10.28515625" style="191" bestFit="1" customWidth="1"/>
    <col min="12036" max="12036" width="8.5703125" style="191" bestFit="1" customWidth="1"/>
    <col min="12037" max="12037" width="5.7109375" style="191" bestFit="1" customWidth="1"/>
    <col min="12038" max="12038" width="8.42578125" style="191" bestFit="1" customWidth="1"/>
    <col min="12039" max="12039" width="10.140625" style="191" bestFit="1" customWidth="1"/>
    <col min="12040" max="12040" width="7.28515625" style="191" bestFit="1" customWidth="1"/>
    <col min="12041" max="12041" width="8.85546875" style="191" bestFit="1" customWidth="1"/>
    <col min="12042" max="12289" width="9.140625" style="191"/>
    <col min="12290" max="12290" width="24" style="191" bestFit="1" customWidth="1"/>
    <col min="12291" max="12291" width="10.28515625" style="191" bestFit="1" customWidth="1"/>
    <col min="12292" max="12292" width="8.5703125" style="191" bestFit="1" customWidth="1"/>
    <col min="12293" max="12293" width="5.7109375" style="191" bestFit="1" customWidth="1"/>
    <col min="12294" max="12294" width="8.42578125" style="191" bestFit="1" customWidth="1"/>
    <col min="12295" max="12295" width="10.140625" style="191" bestFit="1" customWidth="1"/>
    <col min="12296" max="12296" width="7.28515625" style="191" bestFit="1" customWidth="1"/>
    <col min="12297" max="12297" width="8.85546875" style="191" bestFit="1" customWidth="1"/>
    <col min="12298" max="12545" width="9.140625" style="191"/>
    <col min="12546" max="12546" width="24" style="191" bestFit="1" customWidth="1"/>
    <col min="12547" max="12547" width="10.28515625" style="191" bestFit="1" customWidth="1"/>
    <col min="12548" max="12548" width="8.5703125" style="191" bestFit="1" customWidth="1"/>
    <col min="12549" max="12549" width="5.7109375" style="191" bestFit="1" customWidth="1"/>
    <col min="12550" max="12550" width="8.42578125" style="191" bestFit="1" customWidth="1"/>
    <col min="12551" max="12551" width="10.140625" style="191" bestFit="1" customWidth="1"/>
    <col min="12552" max="12552" width="7.28515625" style="191" bestFit="1" customWidth="1"/>
    <col min="12553" max="12553" width="8.85546875" style="191" bestFit="1" customWidth="1"/>
    <col min="12554" max="12801" width="9.140625" style="191"/>
    <col min="12802" max="12802" width="24" style="191" bestFit="1" customWidth="1"/>
    <col min="12803" max="12803" width="10.28515625" style="191" bestFit="1" customWidth="1"/>
    <col min="12804" max="12804" width="8.5703125" style="191" bestFit="1" customWidth="1"/>
    <col min="12805" max="12805" width="5.7109375" style="191" bestFit="1" customWidth="1"/>
    <col min="12806" max="12806" width="8.42578125" style="191" bestFit="1" customWidth="1"/>
    <col min="12807" max="12807" width="10.140625" style="191" bestFit="1" customWidth="1"/>
    <col min="12808" max="12808" width="7.28515625" style="191" bestFit="1" customWidth="1"/>
    <col min="12809" max="12809" width="8.85546875" style="191" bestFit="1" customWidth="1"/>
    <col min="12810" max="13057" width="9.140625" style="191"/>
    <col min="13058" max="13058" width="24" style="191" bestFit="1" customWidth="1"/>
    <col min="13059" max="13059" width="10.28515625" style="191" bestFit="1" customWidth="1"/>
    <col min="13060" max="13060" width="8.5703125" style="191" bestFit="1" customWidth="1"/>
    <col min="13061" max="13061" width="5.7109375" style="191" bestFit="1" customWidth="1"/>
    <col min="13062" max="13062" width="8.42578125" style="191" bestFit="1" customWidth="1"/>
    <col min="13063" max="13063" width="10.140625" style="191" bestFit="1" customWidth="1"/>
    <col min="13064" max="13064" width="7.28515625" style="191" bestFit="1" customWidth="1"/>
    <col min="13065" max="13065" width="8.85546875" style="191" bestFit="1" customWidth="1"/>
    <col min="13066" max="13313" width="9.140625" style="191"/>
    <col min="13314" max="13314" width="24" style="191" bestFit="1" customWidth="1"/>
    <col min="13315" max="13315" width="10.28515625" style="191" bestFit="1" customWidth="1"/>
    <col min="13316" max="13316" width="8.5703125" style="191" bestFit="1" customWidth="1"/>
    <col min="13317" max="13317" width="5.7109375" style="191" bestFit="1" customWidth="1"/>
    <col min="13318" max="13318" width="8.42578125" style="191" bestFit="1" customWidth="1"/>
    <col min="13319" max="13319" width="10.140625" style="191" bestFit="1" customWidth="1"/>
    <col min="13320" max="13320" width="7.28515625" style="191" bestFit="1" customWidth="1"/>
    <col min="13321" max="13321" width="8.85546875" style="191" bestFit="1" customWidth="1"/>
    <col min="13322" max="13569" width="9.140625" style="191"/>
    <col min="13570" max="13570" width="24" style="191" bestFit="1" customWidth="1"/>
    <col min="13571" max="13571" width="10.28515625" style="191" bestFit="1" customWidth="1"/>
    <col min="13572" max="13572" width="8.5703125" style="191" bestFit="1" customWidth="1"/>
    <col min="13573" max="13573" width="5.7109375" style="191" bestFit="1" customWidth="1"/>
    <col min="13574" max="13574" width="8.42578125" style="191" bestFit="1" customWidth="1"/>
    <col min="13575" max="13575" width="10.140625" style="191" bestFit="1" customWidth="1"/>
    <col min="13576" max="13576" width="7.28515625" style="191" bestFit="1" customWidth="1"/>
    <col min="13577" max="13577" width="8.85546875" style="191" bestFit="1" customWidth="1"/>
    <col min="13578" max="13825" width="9.140625" style="191"/>
    <col min="13826" max="13826" width="24" style="191" bestFit="1" customWidth="1"/>
    <col min="13827" max="13827" width="10.28515625" style="191" bestFit="1" customWidth="1"/>
    <col min="13828" max="13828" width="8.5703125" style="191" bestFit="1" customWidth="1"/>
    <col min="13829" max="13829" width="5.7109375" style="191" bestFit="1" customWidth="1"/>
    <col min="13830" max="13830" width="8.42578125" style="191" bestFit="1" customWidth="1"/>
    <col min="13831" max="13831" width="10.140625" style="191" bestFit="1" customWidth="1"/>
    <col min="13832" max="13832" width="7.28515625" style="191" bestFit="1" customWidth="1"/>
    <col min="13833" max="13833" width="8.85546875" style="191" bestFit="1" customWidth="1"/>
    <col min="13834" max="14081" width="9.140625" style="191"/>
    <col min="14082" max="14082" width="24" style="191" bestFit="1" customWidth="1"/>
    <col min="14083" max="14083" width="10.28515625" style="191" bestFit="1" customWidth="1"/>
    <col min="14084" max="14084" width="8.5703125" style="191" bestFit="1" customWidth="1"/>
    <col min="14085" max="14085" width="5.7109375" style="191" bestFit="1" customWidth="1"/>
    <col min="14086" max="14086" width="8.42578125" style="191" bestFit="1" customWidth="1"/>
    <col min="14087" max="14087" width="10.140625" style="191" bestFit="1" customWidth="1"/>
    <col min="14088" max="14088" width="7.28515625" style="191" bestFit="1" customWidth="1"/>
    <col min="14089" max="14089" width="8.85546875" style="191" bestFit="1" customWidth="1"/>
    <col min="14090" max="14337" width="9.140625" style="191"/>
    <col min="14338" max="14338" width="24" style="191" bestFit="1" customWidth="1"/>
    <col min="14339" max="14339" width="10.28515625" style="191" bestFit="1" customWidth="1"/>
    <col min="14340" max="14340" width="8.5703125" style="191" bestFit="1" customWidth="1"/>
    <col min="14341" max="14341" width="5.7109375" style="191" bestFit="1" customWidth="1"/>
    <col min="14342" max="14342" width="8.42578125" style="191" bestFit="1" customWidth="1"/>
    <col min="14343" max="14343" width="10.140625" style="191" bestFit="1" customWidth="1"/>
    <col min="14344" max="14344" width="7.28515625" style="191" bestFit="1" customWidth="1"/>
    <col min="14345" max="14345" width="8.85546875" style="191" bestFit="1" customWidth="1"/>
    <col min="14346" max="14593" width="9.140625" style="191"/>
    <col min="14594" max="14594" width="24" style="191" bestFit="1" customWidth="1"/>
    <col min="14595" max="14595" width="10.28515625" style="191" bestFit="1" customWidth="1"/>
    <col min="14596" max="14596" width="8.5703125" style="191" bestFit="1" customWidth="1"/>
    <col min="14597" max="14597" width="5.7109375" style="191" bestFit="1" customWidth="1"/>
    <col min="14598" max="14598" width="8.42578125" style="191" bestFit="1" customWidth="1"/>
    <col min="14599" max="14599" width="10.140625" style="191" bestFit="1" customWidth="1"/>
    <col min="14600" max="14600" width="7.28515625" style="191" bestFit="1" customWidth="1"/>
    <col min="14601" max="14601" width="8.85546875" style="191" bestFit="1" customWidth="1"/>
    <col min="14602" max="14849" width="9.140625" style="191"/>
    <col min="14850" max="14850" width="24" style="191" bestFit="1" customWidth="1"/>
    <col min="14851" max="14851" width="10.28515625" style="191" bestFit="1" customWidth="1"/>
    <col min="14852" max="14852" width="8.5703125" style="191" bestFit="1" customWidth="1"/>
    <col min="14853" max="14853" width="5.7109375" style="191" bestFit="1" customWidth="1"/>
    <col min="14854" max="14854" width="8.42578125" style="191" bestFit="1" customWidth="1"/>
    <col min="14855" max="14855" width="10.140625" style="191" bestFit="1" customWidth="1"/>
    <col min="14856" max="14856" width="7.28515625" style="191" bestFit="1" customWidth="1"/>
    <col min="14857" max="14857" width="8.85546875" style="191" bestFit="1" customWidth="1"/>
    <col min="14858" max="15105" width="9.140625" style="191"/>
    <col min="15106" max="15106" width="24" style="191" bestFit="1" customWidth="1"/>
    <col min="15107" max="15107" width="10.28515625" style="191" bestFit="1" customWidth="1"/>
    <col min="15108" max="15108" width="8.5703125" style="191" bestFit="1" customWidth="1"/>
    <col min="15109" max="15109" width="5.7109375" style="191" bestFit="1" customWidth="1"/>
    <col min="15110" max="15110" width="8.42578125" style="191" bestFit="1" customWidth="1"/>
    <col min="15111" max="15111" width="10.140625" style="191" bestFit="1" customWidth="1"/>
    <col min="15112" max="15112" width="7.28515625" style="191" bestFit="1" customWidth="1"/>
    <col min="15113" max="15113" width="8.85546875" style="191" bestFit="1" customWidth="1"/>
    <col min="15114" max="15361" width="9.140625" style="191"/>
    <col min="15362" max="15362" width="24" style="191" bestFit="1" customWidth="1"/>
    <col min="15363" max="15363" width="10.28515625" style="191" bestFit="1" customWidth="1"/>
    <col min="15364" max="15364" width="8.5703125" style="191" bestFit="1" customWidth="1"/>
    <col min="15365" max="15365" width="5.7109375" style="191" bestFit="1" customWidth="1"/>
    <col min="15366" max="15366" width="8.42578125" style="191" bestFit="1" customWidth="1"/>
    <col min="15367" max="15367" width="10.140625" style="191" bestFit="1" customWidth="1"/>
    <col min="15368" max="15368" width="7.28515625" style="191" bestFit="1" customWidth="1"/>
    <col min="15369" max="15369" width="8.85546875" style="191" bestFit="1" customWidth="1"/>
    <col min="15370" max="15617" width="9.140625" style="191"/>
    <col min="15618" max="15618" width="24" style="191" bestFit="1" customWidth="1"/>
    <col min="15619" max="15619" width="10.28515625" style="191" bestFit="1" customWidth="1"/>
    <col min="15620" max="15620" width="8.5703125" style="191" bestFit="1" customWidth="1"/>
    <col min="15621" max="15621" width="5.7109375" style="191" bestFit="1" customWidth="1"/>
    <col min="15622" max="15622" width="8.42578125" style="191" bestFit="1" customWidth="1"/>
    <col min="15623" max="15623" width="10.140625" style="191" bestFit="1" customWidth="1"/>
    <col min="15624" max="15624" width="7.28515625" style="191" bestFit="1" customWidth="1"/>
    <col min="15625" max="15625" width="8.85546875" style="191" bestFit="1" customWidth="1"/>
    <col min="15626" max="15873" width="9.140625" style="191"/>
    <col min="15874" max="15874" width="24" style="191" bestFit="1" customWidth="1"/>
    <col min="15875" max="15875" width="10.28515625" style="191" bestFit="1" customWidth="1"/>
    <col min="15876" max="15876" width="8.5703125" style="191" bestFit="1" customWidth="1"/>
    <col min="15877" max="15877" width="5.7109375" style="191" bestFit="1" customWidth="1"/>
    <col min="15878" max="15878" width="8.42578125" style="191" bestFit="1" customWidth="1"/>
    <col min="15879" max="15879" width="10.140625" style="191" bestFit="1" customWidth="1"/>
    <col min="15880" max="15880" width="7.28515625" style="191" bestFit="1" customWidth="1"/>
    <col min="15881" max="15881" width="8.85546875" style="191" bestFit="1" customWidth="1"/>
    <col min="15882" max="16129" width="9.140625" style="191"/>
    <col min="16130" max="16130" width="24" style="191" bestFit="1" customWidth="1"/>
    <col min="16131" max="16131" width="10.28515625" style="191" bestFit="1" customWidth="1"/>
    <col min="16132" max="16132" width="8.5703125" style="191" bestFit="1" customWidth="1"/>
    <col min="16133" max="16133" width="5.7109375" style="191" bestFit="1" customWidth="1"/>
    <col min="16134" max="16134" width="8.42578125" style="191" bestFit="1" customWidth="1"/>
    <col min="16135" max="16135" width="10.140625" style="191" bestFit="1" customWidth="1"/>
    <col min="16136" max="16136" width="7.28515625" style="191" bestFit="1" customWidth="1"/>
    <col min="16137" max="16137" width="8.85546875" style="191" bestFit="1" customWidth="1"/>
    <col min="16138" max="16384" width="9.140625" style="191"/>
  </cols>
  <sheetData>
    <row r="1" spans="1:9" ht="19.5" thickTop="1">
      <c r="A1" s="311" t="s">
        <v>113</v>
      </c>
      <c r="B1" s="312"/>
      <c r="C1" s="312"/>
      <c r="D1" s="312"/>
      <c r="E1" s="312"/>
      <c r="F1" s="312"/>
      <c r="G1" s="312"/>
      <c r="H1" s="312"/>
      <c r="I1" s="313"/>
    </row>
    <row r="2" spans="1:9" ht="63.75">
      <c r="A2" s="192" t="s">
        <v>114</v>
      </c>
      <c r="B2" s="193" t="s">
        <v>115</v>
      </c>
      <c r="C2" s="193" t="s">
        <v>156</v>
      </c>
      <c r="D2" s="193" t="s">
        <v>116</v>
      </c>
      <c r="E2" s="193" t="s">
        <v>117</v>
      </c>
      <c r="F2" s="193" t="s">
        <v>118</v>
      </c>
      <c r="G2" s="193" t="s">
        <v>119</v>
      </c>
      <c r="H2" s="193" t="s">
        <v>120</v>
      </c>
      <c r="I2" s="194" t="s">
        <v>121</v>
      </c>
    </row>
    <row r="3" spans="1:9">
      <c r="A3" s="195" t="s">
        <v>122</v>
      </c>
      <c r="B3" s="196" t="s">
        <v>145</v>
      </c>
      <c r="C3" s="197">
        <v>325</v>
      </c>
      <c r="D3" s="197">
        <v>650</v>
      </c>
      <c r="E3" s="198">
        <v>18</v>
      </c>
      <c r="F3" s="197">
        <f>MIN(D3,C3)*E3</f>
        <v>5850</v>
      </c>
      <c r="G3" s="199" t="str">
        <f t="shared" ref="G3:G17" si="0">IF(E3&gt;=$B$40,$B$41,"")</f>
        <v/>
      </c>
      <c r="H3" s="200">
        <f>VLOOKUP(B3,$A$24:$B$34,2,0)</f>
        <v>0.25</v>
      </c>
      <c r="I3" s="201">
        <f t="shared" ref="I3:I17" si="1">D3*(1-H3)*(1+$B$37)</f>
        <v>565.5</v>
      </c>
    </row>
    <row r="4" spans="1:9">
      <c r="A4" s="195" t="s">
        <v>124</v>
      </c>
      <c r="B4" s="196" t="s">
        <v>125</v>
      </c>
      <c r="C4" s="197">
        <v>275</v>
      </c>
      <c r="D4" s="197">
        <v>550</v>
      </c>
      <c r="E4" s="198">
        <v>38</v>
      </c>
      <c r="F4" s="197">
        <f t="shared" ref="F4:F17" si="2">MIN(D4,C4)*E4</f>
        <v>10450</v>
      </c>
      <c r="G4" s="199" t="str">
        <f t="shared" si="0"/>
        <v/>
      </c>
      <c r="H4" s="200">
        <f t="shared" ref="H4:H17" si="3">VLOOKUP(B4,$A$24:$B$34,2,0)</f>
        <v>0.15</v>
      </c>
      <c r="I4" s="201">
        <f t="shared" si="1"/>
        <v>542.29999999999995</v>
      </c>
    </row>
    <row r="5" spans="1:9">
      <c r="A5" s="195" t="s">
        <v>126</v>
      </c>
      <c r="B5" s="196" t="s">
        <v>127</v>
      </c>
      <c r="C5" s="197">
        <v>225</v>
      </c>
      <c r="D5" s="197">
        <v>450</v>
      </c>
      <c r="E5" s="198">
        <v>58</v>
      </c>
      <c r="F5" s="197">
        <f t="shared" si="2"/>
        <v>13050</v>
      </c>
      <c r="G5" s="199" t="str">
        <f t="shared" si="0"/>
        <v>מוצר מועדף</v>
      </c>
      <c r="H5" s="200">
        <f t="shared" si="3"/>
        <v>0.45</v>
      </c>
      <c r="I5" s="201">
        <f t="shared" si="1"/>
        <v>287.10000000000002</v>
      </c>
    </row>
    <row r="6" spans="1:9">
      <c r="A6" s="195" t="s">
        <v>128</v>
      </c>
      <c r="B6" s="196" t="s">
        <v>129</v>
      </c>
      <c r="C6" s="197">
        <v>175</v>
      </c>
      <c r="D6" s="197">
        <v>350</v>
      </c>
      <c r="E6" s="198">
        <v>78</v>
      </c>
      <c r="F6" s="197">
        <f t="shared" si="2"/>
        <v>13650</v>
      </c>
      <c r="G6" s="199" t="str">
        <f t="shared" si="0"/>
        <v>מוצר מועדף</v>
      </c>
      <c r="H6" s="200">
        <f t="shared" si="3"/>
        <v>0.2</v>
      </c>
      <c r="I6" s="201">
        <f t="shared" si="1"/>
        <v>324.79999999999995</v>
      </c>
    </row>
    <row r="7" spans="1:9">
      <c r="A7" s="202" t="s">
        <v>130</v>
      </c>
      <c r="B7" s="203" t="s">
        <v>148</v>
      </c>
      <c r="C7" s="204">
        <v>150</v>
      </c>
      <c r="D7" s="204">
        <v>300</v>
      </c>
      <c r="E7" s="205">
        <v>98</v>
      </c>
      <c r="F7" s="204">
        <f t="shared" si="2"/>
        <v>14700</v>
      </c>
      <c r="G7" s="206" t="str">
        <f t="shared" si="0"/>
        <v>מוצר מועדף</v>
      </c>
      <c r="H7" s="207">
        <f t="shared" si="3"/>
        <v>0.4</v>
      </c>
      <c r="I7" s="208">
        <f t="shared" si="1"/>
        <v>208.79999999999998</v>
      </c>
    </row>
    <row r="8" spans="1:9">
      <c r="A8" s="195" t="s">
        <v>131</v>
      </c>
      <c r="B8" s="196" t="s">
        <v>123</v>
      </c>
      <c r="C8" s="197">
        <v>325</v>
      </c>
      <c r="D8" s="197">
        <v>650</v>
      </c>
      <c r="E8" s="198">
        <v>18</v>
      </c>
      <c r="F8" s="197">
        <f t="shared" si="2"/>
        <v>5850</v>
      </c>
      <c r="G8" s="199" t="str">
        <f t="shared" si="0"/>
        <v/>
      </c>
      <c r="H8" s="200">
        <f t="shared" si="3"/>
        <v>0.1</v>
      </c>
      <c r="I8" s="201">
        <f t="shared" si="1"/>
        <v>678.59999999999991</v>
      </c>
    </row>
    <row r="9" spans="1:9">
      <c r="A9" s="195" t="s">
        <v>132</v>
      </c>
      <c r="B9" s="196" t="s">
        <v>125</v>
      </c>
      <c r="C9" s="197">
        <v>275</v>
      </c>
      <c r="D9" s="197">
        <v>550</v>
      </c>
      <c r="E9" s="198">
        <v>38</v>
      </c>
      <c r="F9" s="197">
        <f t="shared" si="2"/>
        <v>10450</v>
      </c>
      <c r="G9" s="199" t="str">
        <f t="shared" si="0"/>
        <v/>
      </c>
      <c r="H9" s="200">
        <f t="shared" si="3"/>
        <v>0.15</v>
      </c>
      <c r="I9" s="201">
        <f t="shared" si="1"/>
        <v>542.29999999999995</v>
      </c>
    </row>
    <row r="10" spans="1:9">
      <c r="A10" s="195" t="s">
        <v>126</v>
      </c>
      <c r="B10" s="196" t="s">
        <v>127</v>
      </c>
      <c r="C10" s="197">
        <v>225</v>
      </c>
      <c r="D10" s="197">
        <v>450</v>
      </c>
      <c r="E10" s="198">
        <v>58</v>
      </c>
      <c r="F10" s="197">
        <f t="shared" si="2"/>
        <v>13050</v>
      </c>
      <c r="G10" s="199" t="str">
        <f t="shared" si="0"/>
        <v>מוצר מועדף</v>
      </c>
      <c r="H10" s="200">
        <f t="shared" si="3"/>
        <v>0.45</v>
      </c>
      <c r="I10" s="201">
        <f t="shared" si="1"/>
        <v>287.10000000000002</v>
      </c>
    </row>
    <row r="11" spans="1:9">
      <c r="A11" s="195" t="s">
        <v>133</v>
      </c>
      <c r="B11" s="196" t="s">
        <v>144</v>
      </c>
      <c r="C11" s="197">
        <v>175</v>
      </c>
      <c r="D11" s="197">
        <v>350</v>
      </c>
      <c r="E11" s="198">
        <v>78</v>
      </c>
      <c r="F11" s="197">
        <f t="shared" si="2"/>
        <v>13650</v>
      </c>
      <c r="G11" s="199" t="str">
        <f t="shared" si="0"/>
        <v>מוצר מועדף</v>
      </c>
      <c r="H11" s="200">
        <f t="shared" si="3"/>
        <v>0.05</v>
      </c>
      <c r="I11" s="201">
        <f t="shared" si="1"/>
        <v>385.7</v>
      </c>
    </row>
    <row r="12" spans="1:9">
      <c r="A12" s="202" t="s">
        <v>134</v>
      </c>
      <c r="B12" s="196" t="s">
        <v>145</v>
      </c>
      <c r="C12" s="204">
        <v>150</v>
      </c>
      <c r="D12" s="204">
        <v>300</v>
      </c>
      <c r="E12" s="205">
        <v>98</v>
      </c>
      <c r="F12" s="204">
        <f t="shared" si="2"/>
        <v>14700</v>
      </c>
      <c r="G12" s="206" t="str">
        <f t="shared" si="0"/>
        <v>מוצר מועדף</v>
      </c>
      <c r="H12" s="207">
        <f t="shared" si="3"/>
        <v>0.25</v>
      </c>
      <c r="I12" s="208">
        <f t="shared" si="1"/>
        <v>261</v>
      </c>
    </row>
    <row r="13" spans="1:9">
      <c r="A13" s="202" t="s">
        <v>135</v>
      </c>
      <c r="B13" s="203" t="s">
        <v>123</v>
      </c>
      <c r="C13" s="204">
        <v>325</v>
      </c>
      <c r="D13" s="204">
        <v>650</v>
      </c>
      <c r="E13" s="205">
        <v>18</v>
      </c>
      <c r="F13" s="204">
        <f t="shared" si="2"/>
        <v>5850</v>
      </c>
      <c r="G13" s="206" t="str">
        <f t="shared" si="0"/>
        <v/>
      </c>
      <c r="H13" s="207">
        <f t="shared" si="3"/>
        <v>0.1</v>
      </c>
      <c r="I13" s="208">
        <f t="shared" si="1"/>
        <v>678.59999999999991</v>
      </c>
    </row>
    <row r="14" spans="1:9">
      <c r="A14" s="202" t="s">
        <v>136</v>
      </c>
      <c r="B14" s="203" t="s">
        <v>125</v>
      </c>
      <c r="C14" s="204">
        <v>275</v>
      </c>
      <c r="D14" s="204">
        <v>550</v>
      </c>
      <c r="E14" s="205">
        <v>38</v>
      </c>
      <c r="F14" s="204">
        <f t="shared" si="2"/>
        <v>10450</v>
      </c>
      <c r="G14" s="206" t="str">
        <f t="shared" si="0"/>
        <v/>
      </c>
      <c r="H14" s="207">
        <f t="shared" si="3"/>
        <v>0.15</v>
      </c>
      <c r="I14" s="208">
        <f t="shared" si="1"/>
        <v>542.29999999999995</v>
      </c>
    </row>
    <row r="15" spans="1:9">
      <c r="A15" s="202" t="s">
        <v>137</v>
      </c>
      <c r="B15" s="203" t="s">
        <v>127</v>
      </c>
      <c r="C15" s="204">
        <v>225</v>
      </c>
      <c r="D15" s="204">
        <v>450</v>
      </c>
      <c r="E15" s="205">
        <v>58</v>
      </c>
      <c r="F15" s="204">
        <f t="shared" si="2"/>
        <v>13050</v>
      </c>
      <c r="G15" s="206" t="str">
        <f t="shared" si="0"/>
        <v>מוצר מועדף</v>
      </c>
      <c r="H15" s="207">
        <f t="shared" si="3"/>
        <v>0.45</v>
      </c>
      <c r="I15" s="208">
        <f t="shared" si="1"/>
        <v>287.10000000000002</v>
      </c>
    </row>
    <row r="16" spans="1:9">
      <c r="A16" s="202" t="s">
        <v>138</v>
      </c>
      <c r="B16" s="203" t="s">
        <v>129</v>
      </c>
      <c r="C16" s="204">
        <v>175</v>
      </c>
      <c r="D16" s="204">
        <v>350</v>
      </c>
      <c r="E16" s="205">
        <v>78</v>
      </c>
      <c r="F16" s="204">
        <f t="shared" si="2"/>
        <v>13650</v>
      </c>
      <c r="G16" s="206" t="str">
        <f t="shared" si="0"/>
        <v>מוצר מועדף</v>
      </c>
      <c r="H16" s="207">
        <f t="shared" si="3"/>
        <v>0.2</v>
      </c>
      <c r="I16" s="208">
        <f t="shared" si="1"/>
        <v>324.79999999999995</v>
      </c>
    </row>
    <row r="17" spans="1:9" ht="13.5" thickBot="1">
      <c r="A17" s="209" t="s">
        <v>139</v>
      </c>
      <c r="B17" s="210" t="s">
        <v>123</v>
      </c>
      <c r="C17" s="211">
        <v>150</v>
      </c>
      <c r="D17" s="211">
        <v>300</v>
      </c>
      <c r="E17" s="212">
        <v>98</v>
      </c>
      <c r="F17" s="211">
        <f t="shared" si="2"/>
        <v>14700</v>
      </c>
      <c r="G17" s="213" t="str">
        <f t="shared" si="0"/>
        <v>מוצר מועדף</v>
      </c>
      <c r="H17" s="214">
        <f t="shared" si="3"/>
        <v>0.1</v>
      </c>
      <c r="I17" s="215">
        <f t="shared" si="1"/>
        <v>313.2</v>
      </c>
    </row>
    <row r="18" spans="1:9" ht="14.25" thickTop="1" thickBot="1">
      <c r="A18" s="216"/>
      <c r="B18" s="216"/>
      <c r="C18" s="216"/>
      <c r="D18" s="216"/>
      <c r="E18" s="216"/>
      <c r="F18" s="216"/>
      <c r="G18" s="216"/>
      <c r="H18" s="216"/>
      <c r="I18" s="216"/>
    </row>
    <row r="19" spans="1:9" ht="13.5" thickTop="1">
      <c r="A19" s="217" t="s">
        <v>140</v>
      </c>
      <c r="B19" s="218"/>
      <c r="C19" s="219"/>
      <c r="D19" s="219">
        <f>AVERAGE(D3:D17)</f>
        <v>460</v>
      </c>
      <c r="E19" s="220">
        <f>AVERAGE(E3:E17)</f>
        <v>58</v>
      </c>
      <c r="F19" s="219">
        <f>AVERAGE(F3:F17)</f>
        <v>11540</v>
      </c>
      <c r="G19" s="221"/>
      <c r="H19" s="222">
        <f>AVERAGE(H3:H17)</f>
        <v>0.23000000000000004</v>
      </c>
      <c r="I19" s="223">
        <f>AVERAGE(I3:I17)</f>
        <v>415.28</v>
      </c>
    </row>
    <row r="20" spans="1:9">
      <c r="A20" s="224" t="s">
        <v>24</v>
      </c>
      <c r="B20" s="225"/>
      <c r="C20" s="226"/>
      <c r="D20" s="226">
        <f>MIN(D3:D17)</f>
        <v>300</v>
      </c>
      <c r="E20" s="227">
        <f>MIN(E3:E17)</f>
        <v>18</v>
      </c>
      <c r="F20" s="226">
        <f>MIN(F3:F17)</f>
        <v>5850</v>
      </c>
      <c r="G20" s="228"/>
      <c r="H20" s="229">
        <f>MIN(H3:H17)</f>
        <v>0.05</v>
      </c>
      <c r="I20" s="230">
        <f>MIN(I3:I17)</f>
        <v>208.79999999999998</v>
      </c>
    </row>
    <row r="21" spans="1:9">
      <c r="A21" s="224" t="s">
        <v>23</v>
      </c>
      <c r="B21" s="225"/>
      <c r="C21" s="226"/>
      <c r="D21" s="226">
        <f>MAX(D3:D17)</f>
        <v>650</v>
      </c>
      <c r="E21" s="227">
        <f>MAX(E3:E17)</f>
        <v>98</v>
      </c>
      <c r="F21" s="226">
        <f>MAX(F3:F17)</f>
        <v>14700</v>
      </c>
      <c r="G21" s="228"/>
      <c r="H21" s="229">
        <f>MAX(H3:H17)</f>
        <v>0.45</v>
      </c>
      <c r="I21" s="230">
        <f>MAX(I3:I17)</f>
        <v>678.59999999999991</v>
      </c>
    </row>
    <row r="22" spans="1:9" ht="13.5" thickBot="1">
      <c r="A22" s="231" t="s">
        <v>141</v>
      </c>
      <c r="B22" s="232"/>
      <c r="C22" s="210"/>
      <c r="D22" s="210" t="s">
        <v>123</v>
      </c>
      <c r="E22" s="233">
        <f>SUMIF(B3:B17,D22,E3:E17)</f>
        <v>134</v>
      </c>
      <c r="F22" s="234"/>
      <c r="G22" s="234"/>
      <c r="H22" s="235"/>
      <c r="I22" s="236"/>
    </row>
    <row r="23" spans="1:9" ht="14.25" thickTop="1" thickBot="1">
      <c r="C23" s="216"/>
      <c r="D23" s="216"/>
      <c r="E23" s="216"/>
      <c r="F23" s="216"/>
      <c r="G23" s="216"/>
      <c r="H23" s="216"/>
      <c r="I23" s="216"/>
    </row>
    <row r="24" spans="1:9" ht="13.5" thickTop="1">
      <c r="A24" s="237" t="s">
        <v>142</v>
      </c>
      <c r="B24" s="238" t="s">
        <v>143</v>
      </c>
      <c r="C24" s="239"/>
      <c r="D24" s="239"/>
      <c r="E24" s="239"/>
      <c r="F24" s="239"/>
      <c r="G24" s="239"/>
      <c r="H24" s="239"/>
      <c r="I24" s="239"/>
    </row>
    <row r="25" spans="1:9">
      <c r="A25" s="195" t="s">
        <v>144</v>
      </c>
      <c r="B25" s="240">
        <v>0.05</v>
      </c>
      <c r="C25" s="216"/>
      <c r="D25" s="216"/>
      <c r="E25" s="216"/>
      <c r="F25" s="216"/>
      <c r="G25" s="216"/>
      <c r="H25" s="216"/>
      <c r="I25" s="216"/>
    </row>
    <row r="26" spans="1:9">
      <c r="A26" s="241" t="s">
        <v>123</v>
      </c>
      <c r="B26" s="240">
        <v>0.1</v>
      </c>
      <c r="C26" s="216"/>
      <c r="D26" s="216"/>
      <c r="E26" s="216"/>
      <c r="F26" s="216"/>
      <c r="G26" s="216"/>
      <c r="H26" s="216"/>
      <c r="I26" s="216"/>
    </row>
    <row r="27" spans="1:9">
      <c r="A27" s="241" t="s">
        <v>125</v>
      </c>
      <c r="B27" s="240">
        <v>0.15</v>
      </c>
      <c r="C27" s="216"/>
      <c r="D27" s="216"/>
      <c r="E27" s="216"/>
      <c r="F27" s="216"/>
      <c r="G27" s="216"/>
      <c r="H27" s="216"/>
      <c r="I27" s="216"/>
    </row>
    <row r="28" spans="1:9">
      <c r="A28" s="241" t="s">
        <v>129</v>
      </c>
      <c r="B28" s="240">
        <v>0.2</v>
      </c>
      <c r="C28" s="216"/>
      <c r="D28" s="216"/>
      <c r="E28" s="216"/>
      <c r="F28" s="216"/>
      <c r="G28" s="216"/>
      <c r="H28" s="216"/>
      <c r="I28" s="216"/>
    </row>
    <row r="29" spans="1:9">
      <c r="A29" s="195" t="s">
        <v>145</v>
      </c>
      <c r="B29" s="240">
        <v>0.25</v>
      </c>
      <c r="C29" s="216"/>
      <c r="D29" s="216"/>
      <c r="E29" s="216"/>
      <c r="F29" s="216"/>
      <c r="G29" s="216"/>
      <c r="H29" s="216"/>
      <c r="I29" s="216"/>
    </row>
    <row r="30" spans="1:9">
      <c r="A30" s="195" t="s">
        <v>146</v>
      </c>
      <c r="B30" s="240">
        <v>0.3</v>
      </c>
      <c r="C30" s="216"/>
      <c r="D30" s="216"/>
      <c r="E30" s="216"/>
      <c r="F30" s="216"/>
      <c r="G30" s="216"/>
      <c r="H30" s="216"/>
      <c r="I30" s="216"/>
    </row>
    <row r="31" spans="1:9">
      <c r="A31" s="241" t="s">
        <v>147</v>
      </c>
      <c r="B31" s="240">
        <v>0.35</v>
      </c>
      <c r="C31" s="216"/>
      <c r="D31" s="216"/>
      <c r="E31" s="216"/>
      <c r="F31" s="216"/>
      <c r="G31" s="216"/>
      <c r="H31" s="216"/>
      <c r="I31" s="216"/>
    </row>
    <row r="32" spans="1:9">
      <c r="A32" s="241" t="s">
        <v>148</v>
      </c>
      <c r="B32" s="240">
        <v>0.4</v>
      </c>
      <c r="C32" s="216"/>
      <c r="D32" s="216"/>
      <c r="E32" s="216"/>
      <c r="F32" s="216"/>
      <c r="G32" s="216"/>
      <c r="H32" s="216"/>
      <c r="I32" s="216"/>
    </row>
    <row r="33" spans="1:9">
      <c r="A33" s="195" t="s">
        <v>127</v>
      </c>
      <c r="B33" s="240">
        <v>0.45</v>
      </c>
      <c r="C33" s="216"/>
      <c r="D33" s="216"/>
      <c r="E33" s="216"/>
      <c r="F33" s="216"/>
      <c r="G33" s="216"/>
      <c r="H33" s="216"/>
      <c r="I33" s="216"/>
    </row>
    <row r="34" spans="1:9" ht="13.5" thickBot="1">
      <c r="A34" s="209" t="s">
        <v>149</v>
      </c>
      <c r="B34" s="242">
        <v>0.5</v>
      </c>
      <c r="C34" s="216"/>
      <c r="D34" s="216"/>
      <c r="E34" s="216"/>
      <c r="F34" s="216"/>
      <c r="G34" s="216"/>
      <c r="H34" s="216"/>
      <c r="I34" s="216"/>
    </row>
    <row r="35" spans="1:9" ht="14.25" thickTop="1" thickBot="1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 ht="13.5" thickTop="1">
      <c r="A36" s="314" t="s">
        <v>150</v>
      </c>
      <c r="B36" s="315"/>
      <c r="C36" s="243"/>
      <c r="D36" s="243"/>
      <c r="E36" s="243"/>
      <c r="F36" s="243"/>
      <c r="G36" s="243"/>
      <c r="H36" s="243"/>
      <c r="I36" s="243"/>
    </row>
    <row r="37" spans="1:9">
      <c r="A37" s="244" t="s">
        <v>151</v>
      </c>
      <c r="B37" s="245">
        <v>0.16</v>
      </c>
    </row>
    <row r="38" spans="1:9">
      <c r="A38" s="244"/>
      <c r="B38" s="246"/>
    </row>
    <row r="39" spans="1:9">
      <c r="A39" s="316" t="s">
        <v>152</v>
      </c>
      <c r="B39" s="317"/>
    </row>
    <row r="40" spans="1:9">
      <c r="A40" s="244" t="s">
        <v>153</v>
      </c>
      <c r="B40" s="247">
        <v>40</v>
      </c>
    </row>
    <row r="41" spans="1:9" ht="13.5" thickBot="1">
      <c r="A41" s="248" t="s">
        <v>154</v>
      </c>
      <c r="B41" s="249" t="s">
        <v>155</v>
      </c>
    </row>
    <row r="42" spans="1:9" ht="13.5" thickTop="1"/>
  </sheetData>
  <mergeCells count="3">
    <mergeCell ref="A1:I1"/>
    <mergeCell ref="A36:B36"/>
    <mergeCell ref="A39:B39"/>
  </mergeCells>
  <conditionalFormatting sqref="G3:G17">
    <cfRule type="cellIs" dxfId="0" priority="1" operator="equal">
      <formula>$B$41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X26"/>
  <sheetViews>
    <sheetView rightToLeft="1" workbookViewId="0"/>
  </sheetViews>
  <sheetFormatPr defaultRowHeight="12.75"/>
  <cols>
    <col min="1" max="1" width="15.42578125" style="191" customWidth="1"/>
    <col min="2" max="2" width="10.28515625" style="191" customWidth="1"/>
    <col min="3" max="3" width="9.7109375" style="191" customWidth="1"/>
    <col min="4" max="4" width="6.5703125" style="191" customWidth="1"/>
    <col min="5" max="5" width="9.7109375" style="191" customWidth="1"/>
    <col min="6" max="6" width="8.7109375" style="191" customWidth="1"/>
    <col min="7" max="7" width="9.28515625" style="191" customWidth="1"/>
    <col min="8" max="8" width="10.7109375" style="191" customWidth="1"/>
    <col min="9" max="9" width="9.42578125" style="191" customWidth="1"/>
    <col min="10" max="10" width="10" style="191" customWidth="1"/>
    <col min="11" max="11" width="9.85546875" style="191" customWidth="1"/>
    <col min="12" max="12" width="9" style="191" customWidth="1"/>
    <col min="13" max="13" width="9.140625" style="191" customWidth="1"/>
    <col min="14" max="14" width="9.28515625" style="191" customWidth="1"/>
    <col min="15" max="15" width="10.7109375" style="191" customWidth="1"/>
    <col min="16" max="16" width="9.42578125" style="191" customWidth="1"/>
    <col min="17" max="17" width="10" style="191" customWidth="1"/>
    <col min="18" max="18" width="9.85546875" style="191" customWidth="1"/>
    <col min="19" max="19" width="9" style="191" customWidth="1"/>
    <col min="20" max="20" width="9.140625" style="191" customWidth="1"/>
    <col min="21" max="21" width="9.28515625" style="191" customWidth="1"/>
    <col min="22" max="22" width="10.7109375" style="191" customWidth="1"/>
    <col min="23" max="23" width="9.42578125" style="191" customWidth="1"/>
    <col min="24" max="24" width="10" style="191" customWidth="1"/>
    <col min="25" max="25" width="9.85546875" style="191" customWidth="1"/>
    <col min="26" max="26" width="9" style="191" customWidth="1"/>
    <col min="27" max="27" width="9.140625" style="191" customWidth="1"/>
    <col min="28" max="28" width="9.28515625" style="191" customWidth="1"/>
    <col min="29" max="29" width="10.7109375" style="191" customWidth="1"/>
    <col min="30" max="31" width="10" style="191" customWidth="1"/>
    <col min="32" max="32" width="9.85546875" style="191" customWidth="1"/>
    <col min="33" max="33" width="9" style="191" customWidth="1"/>
    <col min="34" max="34" width="9.140625" style="191" customWidth="1"/>
    <col min="35" max="35" width="9.28515625" style="191" customWidth="1"/>
    <col min="36" max="36" width="10.7109375" style="191" customWidth="1"/>
    <col min="37" max="37" width="21.5703125" style="191" customWidth="1"/>
    <col min="38" max="38" width="30.5703125" style="191" customWidth="1"/>
    <col min="39" max="39" width="23.28515625" style="191" customWidth="1"/>
    <col min="40" max="40" width="19.5703125" style="191" customWidth="1"/>
    <col min="41" max="41" width="21.42578125" style="191" customWidth="1"/>
    <col min="42" max="42" width="8.85546875" style="191" customWidth="1"/>
    <col min="43" max="43" width="7.5703125" style="191" customWidth="1"/>
    <col min="44" max="44" width="10.42578125" style="191" bestFit="1" customWidth="1"/>
    <col min="45" max="45" width="11.42578125" style="191" bestFit="1" customWidth="1"/>
    <col min="46" max="46" width="10.42578125" style="191" bestFit="1" customWidth="1"/>
    <col min="47" max="49" width="10.7109375" style="191" bestFit="1" customWidth="1"/>
    <col min="50" max="51" width="8.140625" style="191" customWidth="1"/>
    <col min="52" max="52" width="8.7109375" style="191" customWidth="1"/>
    <col min="53" max="53" width="8.140625" style="191" customWidth="1"/>
    <col min="54" max="54" width="8.7109375" style="191" customWidth="1"/>
    <col min="55" max="56" width="8.85546875" style="191" customWidth="1"/>
    <col min="57" max="57" width="8.7109375" style="191" customWidth="1"/>
    <col min="58" max="58" width="10.42578125" style="191" bestFit="1" customWidth="1"/>
    <col min="59" max="59" width="11.42578125" style="191" bestFit="1" customWidth="1"/>
    <col min="60" max="60" width="10.42578125" style="191" bestFit="1" customWidth="1"/>
    <col min="61" max="63" width="10.7109375" style="191" bestFit="1" customWidth="1"/>
    <col min="64" max="65" width="8.140625" style="191" customWidth="1"/>
    <col min="66" max="66" width="8.7109375" style="191" customWidth="1"/>
    <col min="67" max="67" width="8.140625" style="191" customWidth="1"/>
    <col min="68" max="68" width="8.7109375" style="191" customWidth="1"/>
    <col min="69" max="70" width="8.85546875" style="191" customWidth="1"/>
    <col min="71" max="71" width="8.7109375" style="191" customWidth="1"/>
    <col min="72" max="72" width="21.5703125" style="191" bestFit="1" customWidth="1"/>
    <col min="73" max="73" width="30.5703125" style="191" bestFit="1" customWidth="1"/>
    <col min="74" max="74" width="23.28515625" style="191" bestFit="1" customWidth="1"/>
    <col min="75" max="75" width="19.5703125" style="191" bestFit="1" customWidth="1"/>
    <col min="76" max="76" width="21.42578125" style="191" bestFit="1" customWidth="1"/>
    <col min="77" max="16384" width="9.140625" style="191"/>
  </cols>
  <sheetData>
    <row r="3" spans="1:76">
      <c r="B3" s="191" t="s">
        <v>186</v>
      </c>
    </row>
    <row r="4" spans="1:76" s="250" customFormat="1" ht="38.25">
      <c r="A4" s="250" t="s">
        <v>187</v>
      </c>
      <c r="B4" s="251" t="s">
        <v>188</v>
      </c>
      <c r="C4" s="251" t="s">
        <v>189</v>
      </c>
      <c r="D4" s="251" t="s">
        <v>190</v>
      </c>
      <c r="E4" s="251" t="s">
        <v>191</v>
      </c>
      <c r="F4" s="251" t="s">
        <v>192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</row>
    <row r="5" spans="1:76">
      <c r="A5" s="252" t="s">
        <v>144</v>
      </c>
      <c r="B5" s="253">
        <v>78</v>
      </c>
      <c r="C5" s="254">
        <v>8.9655172413793102E-2</v>
      </c>
      <c r="D5" s="255">
        <v>78</v>
      </c>
      <c r="E5" s="256">
        <v>13650</v>
      </c>
      <c r="F5" s="256">
        <v>13650</v>
      </c>
    </row>
    <row r="6" spans="1:76">
      <c r="A6" s="257" t="s">
        <v>133</v>
      </c>
      <c r="B6" s="253">
        <v>78</v>
      </c>
      <c r="C6" s="254">
        <v>8.9655172413793102E-2</v>
      </c>
      <c r="D6" s="255">
        <v>78</v>
      </c>
      <c r="E6" s="256">
        <v>13650</v>
      </c>
      <c r="F6" s="256">
        <v>13650</v>
      </c>
    </row>
    <row r="7" spans="1:76">
      <c r="A7" s="252" t="s">
        <v>148</v>
      </c>
      <c r="B7" s="253">
        <v>98</v>
      </c>
      <c r="C7" s="254">
        <v>0.11264367816091954</v>
      </c>
      <c r="D7" s="255">
        <v>98</v>
      </c>
      <c r="E7" s="256">
        <v>14700</v>
      </c>
      <c r="F7" s="256">
        <v>14700</v>
      </c>
    </row>
    <row r="8" spans="1:76">
      <c r="A8" s="257" t="s">
        <v>130</v>
      </c>
      <c r="B8" s="253">
        <v>98</v>
      </c>
      <c r="C8" s="254">
        <v>0.11264367816091954</v>
      </c>
      <c r="D8" s="255">
        <v>98</v>
      </c>
      <c r="E8" s="256">
        <v>14700</v>
      </c>
      <c r="F8" s="256">
        <v>14700</v>
      </c>
    </row>
    <row r="9" spans="1:76">
      <c r="A9" s="252" t="s">
        <v>125</v>
      </c>
      <c r="B9" s="253">
        <v>114</v>
      </c>
      <c r="C9" s="254">
        <v>0.1310344827586207</v>
      </c>
      <c r="D9" s="255">
        <v>38</v>
      </c>
      <c r="E9" s="256">
        <v>31350</v>
      </c>
      <c r="F9" s="256">
        <v>10450</v>
      </c>
    </row>
    <row r="10" spans="1:76">
      <c r="A10" s="257" t="s">
        <v>136</v>
      </c>
      <c r="B10" s="253">
        <v>38</v>
      </c>
      <c r="C10" s="254">
        <v>4.3678160919540229E-2</v>
      </c>
      <c r="D10" s="255">
        <v>38</v>
      </c>
      <c r="E10" s="256">
        <v>10450</v>
      </c>
      <c r="F10" s="256">
        <v>10450</v>
      </c>
    </row>
    <row r="11" spans="1:76">
      <c r="A11" s="257" t="s">
        <v>124</v>
      </c>
      <c r="B11" s="253">
        <v>38</v>
      </c>
      <c r="C11" s="254">
        <v>4.3678160919540229E-2</v>
      </c>
      <c r="D11" s="255">
        <v>38</v>
      </c>
      <c r="E11" s="256">
        <v>10450</v>
      </c>
      <c r="F11" s="256">
        <v>10450</v>
      </c>
    </row>
    <row r="12" spans="1:76">
      <c r="A12" s="257" t="s">
        <v>132</v>
      </c>
      <c r="B12" s="253">
        <v>38</v>
      </c>
      <c r="C12" s="254">
        <v>4.3678160919540229E-2</v>
      </c>
      <c r="D12" s="255">
        <v>38</v>
      </c>
      <c r="E12" s="256">
        <v>10450</v>
      </c>
      <c r="F12" s="256">
        <v>10450</v>
      </c>
    </row>
    <row r="13" spans="1:76">
      <c r="A13" s="252" t="s">
        <v>145</v>
      </c>
      <c r="B13" s="253">
        <v>116</v>
      </c>
      <c r="C13" s="254">
        <v>0.13333333333333333</v>
      </c>
      <c r="D13" s="255">
        <v>58</v>
      </c>
      <c r="E13" s="256">
        <v>20550</v>
      </c>
      <c r="F13" s="256">
        <v>10275</v>
      </c>
    </row>
    <row r="14" spans="1:76">
      <c r="A14" s="257" t="s">
        <v>122</v>
      </c>
      <c r="B14" s="253">
        <v>18</v>
      </c>
      <c r="C14" s="254">
        <v>2.0689655172413793E-2</v>
      </c>
      <c r="D14" s="255">
        <v>18</v>
      </c>
      <c r="E14" s="256">
        <v>5850</v>
      </c>
      <c r="F14" s="256">
        <v>5850</v>
      </c>
    </row>
    <row r="15" spans="1:76">
      <c r="A15" s="257" t="s">
        <v>134</v>
      </c>
      <c r="B15" s="253">
        <v>98</v>
      </c>
      <c r="C15" s="254">
        <v>0.11264367816091954</v>
      </c>
      <c r="D15" s="255">
        <v>98</v>
      </c>
      <c r="E15" s="256">
        <v>14700</v>
      </c>
      <c r="F15" s="256">
        <v>14700</v>
      </c>
    </row>
    <row r="16" spans="1:76">
      <c r="A16" s="252" t="s">
        <v>123</v>
      </c>
      <c r="B16" s="253">
        <v>134</v>
      </c>
      <c r="C16" s="254">
        <v>0.15402298850574714</v>
      </c>
      <c r="D16" s="255">
        <v>44.666666666666664</v>
      </c>
      <c r="E16" s="256">
        <v>26400</v>
      </c>
      <c r="F16" s="256">
        <v>8800</v>
      </c>
    </row>
    <row r="17" spans="1:6">
      <c r="A17" s="257" t="s">
        <v>135</v>
      </c>
      <c r="B17" s="253">
        <v>18</v>
      </c>
      <c r="C17" s="254">
        <v>2.0689655172413793E-2</v>
      </c>
      <c r="D17" s="255">
        <v>18</v>
      </c>
      <c r="E17" s="256">
        <v>5850</v>
      </c>
      <c r="F17" s="256">
        <v>5850</v>
      </c>
    </row>
    <row r="18" spans="1:6">
      <c r="A18" s="257" t="s">
        <v>131</v>
      </c>
      <c r="B18" s="253">
        <v>18</v>
      </c>
      <c r="C18" s="254">
        <v>2.0689655172413793E-2</v>
      </c>
      <c r="D18" s="255">
        <v>18</v>
      </c>
      <c r="E18" s="256">
        <v>5850</v>
      </c>
      <c r="F18" s="256">
        <v>5850</v>
      </c>
    </row>
    <row r="19" spans="1:6">
      <c r="A19" s="257" t="s">
        <v>139</v>
      </c>
      <c r="B19" s="253">
        <v>98</v>
      </c>
      <c r="C19" s="254">
        <v>0.11264367816091954</v>
      </c>
      <c r="D19" s="255">
        <v>98</v>
      </c>
      <c r="E19" s="256">
        <v>14700</v>
      </c>
      <c r="F19" s="256">
        <v>14700</v>
      </c>
    </row>
    <row r="20" spans="1:6">
      <c r="A20" s="252" t="s">
        <v>129</v>
      </c>
      <c r="B20" s="253">
        <v>156</v>
      </c>
      <c r="C20" s="254">
        <v>0.1793103448275862</v>
      </c>
      <c r="D20" s="255">
        <v>78</v>
      </c>
      <c r="E20" s="256">
        <v>27300</v>
      </c>
      <c r="F20" s="256">
        <v>13650</v>
      </c>
    </row>
    <row r="21" spans="1:6">
      <c r="A21" s="257" t="s">
        <v>138</v>
      </c>
      <c r="B21" s="253">
        <v>78</v>
      </c>
      <c r="C21" s="254">
        <v>8.9655172413793102E-2</v>
      </c>
      <c r="D21" s="255">
        <v>78</v>
      </c>
      <c r="E21" s="256">
        <v>13650</v>
      </c>
      <c r="F21" s="256">
        <v>13650</v>
      </c>
    </row>
    <row r="22" spans="1:6">
      <c r="A22" s="257" t="s">
        <v>128</v>
      </c>
      <c r="B22" s="253">
        <v>78</v>
      </c>
      <c r="C22" s="254">
        <v>8.9655172413793102E-2</v>
      </c>
      <c r="D22" s="255">
        <v>78</v>
      </c>
      <c r="E22" s="256">
        <v>13650</v>
      </c>
      <c r="F22" s="256">
        <v>13650</v>
      </c>
    </row>
    <row r="23" spans="1:6">
      <c r="A23" s="252" t="s">
        <v>127</v>
      </c>
      <c r="B23" s="253">
        <v>174</v>
      </c>
      <c r="C23" s="254">
        <v>0.2</v>
      </c>
      <c r="D23" s="255">
        <v>58</v>
      </c>
      <c r="E23" s="256">
        <v>39150</v>
      </c>
      <c r="F23" s="256">
        <v>13050</v>
      </c>
    </row>
    <row r="24" spans="1:6">
      <c r="A24" s="257" t="s">
        <v>126</v>
      </c>
      <c r="B24" s="253">
        <v>116</v>
      </c>
      <c r="C24" s="254">
        <v>0.13333333333333333</v>
      </c>
      <c r="D24" s="255">
        <v>58</v>
      </c>
      <c r="E24" s="256">
        <v>26100</v>
      </c>
      <c r="F24" s="256">
        <v>13050</v>
      </c>
    </row>
    <row r="25" spans="1:6">
      <c r="A25" s="257" t="s">
        <v>137</v>
      </c>
      <c r="B25" s="253">
        <v>58</v>
      </c>
      <c r="C25" s="254">
        <v>6.6666666666666666E-2</v>
      </c>
      <c r="D25" s="255">
        <v>58</v>
      </c>
      <c r="E25" s="256">
        <v>13050</v>
      </c>
      <c r="F25" s="256">
        <v>13050</v>
      </c>
    </row>
    <row r="26" spans="1:6">
      <c r="A26" s="252" t="s">
        <v>193</v>
      </c>
      <c r="B26" s="253">
        <v>870</v>
      </c>
      <c r="C26" s="254">
        <v>1</v>
      </c>
      <c r="D26" s="255">
        <v>58</v>
      </c>
      <c r="E26" s="256">
        <v>173100</v>
      </c>
      <c r="F26" s="256">
        <v>11540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rightToLeft="1" workbookViewId="0"/>
  </sheetViews>
  <sheetFormatPr defaultRowHeight="12.75"/>
  <cols>
    <col min="1" max="1" width="12.85546875" bestFit="1" customWidth="1"/>
    <col min="2" max="2" width="21.5703125" bestFit="1" customWidth="1"/>
    <col min="3" max="3" width="26.7109375" bestFit="1" customWidth="1"/>
  </cols>
  <sheetData>
    <row r="1" spans="1:3">
      <c r="A1" s="318" t="s">
        <v>187</v>
      </c>
      <c r="B1" t="s">
        <v>196</v>
      </c>
      <c r="C1" t="s">
        <v>197</v>
      </c>
    </row>
    <row r="2" spans="1:3">
      <c r="A2" s="1" t="s">
        <v>127</v>
      </c>
      <c r="B2" s="319">
        <v>225</v>
      </c>
      <c r="C2" s="319">
        <v>450</v>
      </c>
    </row>
    <row r="3" spans="1:3">
      <c r="A3" s="1" t="s">
        <v>148</v>
      </c>
      <c r="B3" s="319">
        <v>150</v>
      </c>
      <c r="C3" s="319">
        <v>300</v>
      </c>
    </row>
    <row r="4" spans="1:3">
      <c r="A4" s="1" t="s">
        <v>129</v>
      </c>
      <c r="B4" s="319">
        <v>175</v>
      </c>
      <c r="C4" s="319">
        <v>350</v>
      </c>
    </row>
    <row r="5" spans="1:3">
      <c r="A5" s="1" t="s">
        <v>145</v>
      </c>
      <c r="B5" s="319">
        <v>237.5</v>
      </c>
      <c r="C5" s="319">
        <v>475</v>
      </c>
    </row>
    <row r="6" spans="1:3">
      <c r="A6" s="1" t="s">
        <v>125</v>
      </c>
      <c r="B6" s="319">
        <v>275</v>
      </c>
      <c r="C6" s="319">
        <v>550</v>
      </c>
    </row>
    <row r="7" spans="1:3">
      <c r="A7" s="1" t="s">
        <v>144</v>
      </c>
      <c r="B7" s="319">
        <v>175</v>
      </c>
      <c r="C7" s="319">
        <v>350</v>
      </c>
    </row>
    <row r="8" spans="1:3">
      <c r="A8" s="1" t="s">
        <v>123</v>
      </c>
      <c r="B8" s="319">
        <v>266.66666666666669</v>
      </c>
      <c r="C8" s="319">
        <v>533.33333333333337</v>
      </c>
    </row>
    <row r="9" spans="1:3">
      <c r="A9" s="1" t="s">
        <v>193</v>
      </c>
      <c r="B9" s="319">
        <v>230</v>
      </c>
      <c r="C9" s="319">
        <v>460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workbookViewId="0">
      <selection sqref="A1:I1"/>
    </sheetView>
  </sheetViews>
  <sheetFormatPr defaultRowHeight="12.75"/>
  <cols>
    <col min="1" max="1" width="24" style="99" bestFit="1" customWidth="1"/>
    <col min="2" max="2" width="10.28515625" style="99" bestFit="1" customWidth="1"/>
    <col min="3" max="3" width="8.5703125" style="99" bestFit="1" customWidth="1"/>
    <col min="4" max="4" width="5.7109375" style="99" bestFit="1" customWidth="1"/>
    <col min="5" max="5" width="8.42578125" style="99" bestFit="1" customWidth="1"/>
    <col min="6" max="6" width="10.140625" style="99" bestFit="1" customWidth="1"/>
    <col min="7" max="7" width="10.140625" style="99" customWidth="1"/>
    <col min="8" max="8" width="7.28515625" style="99" bestFit="1" customWidth="1"/>
    <col min="9" max="9" width="8.85546875" style="99" bestFit="1" customWidth="1"/>
    <col min="10" max="257" width="9.140625" style="99"/>
    <col min="258" max="258" width="24" style="99" bestFit="1" customWidth="1"/>
    <col min="259" max="259" width="10.28515625" style="99" bestFit="1" customWidth="1"/>
    <col min="260" max="260" width="8.5703125" style="99" bestFit="1" customWidth="1"/>
    <col min="261" max="261" width="5.7109375" style="99" bestFit="1" customWidth="1"/>
    <col min="262" max="262" width="8.42578125" style="99" bestFit="1" customWidth="1"/>
    <col min="263" max="263" width="10.140625" style="99" bestFit="1" customWidth="1"/>
    <col min="264" max="264" width="7.28515625" style="99" bestFit="1" customWidth="1"/>
    <col min="265" max="265" width="8.85546875" style="99" bestFit="1" customWidth="1"/>
    <col min="266" max="513" width="9.140625" style="99"/>
    <col min="514" max="514" width="24" style="99" bestFit="1" customWidth="1"/>
    <col min="515" max="515" width="10.28515625" style="99" bestFit="1" customWidth="1"/>
    <col min="516" max="516" width="8.5703125" style="99" bestFit="1" customWidth="1"/>
    <col min="517" max="517" width="5.7109375" style="99" bestFit="1" customWidth="1"/>
    <col min="518" max="518" width="8.42578125" style="99" bestFit="1" customWidth="1"/>
    <col min="519" max="519" width="10.140625" style="99" bestFit="1" customWidth="1"/>
    <col min="520" max="520" width="7.28515625" style="99" bestFit="1" customWidth="1"/>
    <col min="521" max="521" width="8.85546875" style="99" bestFit="1" customWidth="1"/>
    <col min="522" max="769" width="9.140625" style="99"/>
    <col min="770" max="770" width="24" style="99" bestFit="1" customWidth="1"/>
    <col min="771" max="771" width="10.28515625" style="99" bestFit="1" customWidth="1"/>
    <col min="772" max="772" width="8.5703125" style="99" bestFit="1" customWidth="1"/>
    <col min="773" max="773" width="5.7109375" style="99" bestFit="1" customWidth="1"/>
    <col min="774" max="774" width="8.42578125" style="99" bestFit="1" customWidth="1"/>
    <col min="775" max="775" width="10.140625" style="99" bestFit="1" customWidth="1"/>
    <col min="776" max="776" width="7.28515625" style="99" bestFit="1" customWidth="1"/>
    <col min="777" max="777" width="8.85546875" style="99" bestFit="1" customWidth="1"/>
    <col min="778" max="1025" width="9.140625" style="99"/>
    <col min="1026" max="1026" width="24" style="99" bestFit="1" customWidth="1"/>
    <col min="1027" max="1027" width="10.28515625" style="99" bestFit="1" customWidth="1"/>
    <col min="1028" max="1028" width="8.5703125" style="99" bestFit="1" customWidth="1"/>
    <col min="1029" max="1029" width="5.7109375" style="99" bestFit="1" customWidth="1"/>
    <col min="1030" max="1030" width="8.42578125" style="99" bestFit="1" customWidth="1"/>
    <col min="1031" max="1031" width="10.140625" style="99" bestFit="1" customWidth="1"/>
    <col min="1032" max="1032" width="7.28515625" style="99" bestFit="1" customWidth="1"/>
    <col min="1033" max="1033" width="8.85546875" style="99" bestFit="1" customWidth="1"/>
    <col min="1034" max="1281" width="9.140625" style="99"/>
    <col min="1282" max="1282" width="24" style="99" bestFit="1" customWidth="1"/>
    <col min="1283" max="1283" width="10.28515625" style="99" bestFit="1" customWidth="1"/>
    <col min="1284" max="1284" width="8.5703125" style="99" bestFit="1" customWidth="1"/>
    <col min="1285" max="1285" width="5.7109375" style="99" bestFit="1" customWidth="1"/>
    <col min="1286" max="1286" width="8.42578125" style="99" bestFit="1" customWidth="1"/>
    <col min="1287" max="1287" width="10.140625" style="99" bestFit="1" customWidth="1"/>
    <col min="1288" max="1288" width="7.28515625" style="99" bestFit="1" customWidth="1"/>
    <col min="1289" max="1289" width="8.85546875" style="99" bestFit="1" customWidth="1"/>
    <col min="1290" max="1537" width="9.140625" style="99"/>
    <col min="1538" max="1538" width="24" style="99" bestFit="1" customWidth="1"/>
    <col min="1539" max="1539" width="10.28515625" style="99" bestFit="1" customWidth="1"/>
    <col min="1540" max="1540" width="8.5703125" style="99" bestFit="1" customWidth="1"/>
    <col min="1541" max="1541" width="5.7109375" style="99" bestFit="1" customWidth="1"/>
    <col min="1542" max="1542" width="8.42578125" style="99" bestFit="1" customWidth="1"/>
    <col min="1543" max="1543" width="10.140625" style="99" bestFit="1" customWidth="1"/>
    <col min="1544" max="1544" width="7.28515625" style="99" bestFit="1" customWidth="1"/>
    <col min="1545" max="1545" width="8.85546875" style="99" bestFit="1" customWidth="1"/>
    <col min="1546" max="1793" width="9.140625" style="99"/>
    <col min="1794" max="1794" width="24" style="99" bestFit="1" customWidth="1"/>
    <col min="1795" max="1795" width="10.28515625" style="99" bestFit="1" customWidth="1"/>
    <col min="1796" max="1796" width="8.5703125" style="99" bestFit="1" customWidth="1"/>
    <col min="1797" max="1797" width="5.7109375" style="99" bestFit="1" customWidth="1"/>
    <col min="1798" max="1798" width="8.42578125" style="99" bestFit="1" customWidth="1"/>
    <col min="1799" max="1799" width="10.140625" style="99" bestFit="1" customWidth="1"/>
    <col min="1800" max="1800" width="7.28515625" style="99" bestFit="1" customWidth="1"/>
    <col min="1801" max="1801" width="8.85546875" style="99" bestFit="1" customWidth="1"/>
    <col min="1802" max="2049" width="9.140625" style="99"/>
    <col min="2050" max="2050" width="24" style="99" bestFit="1" customWidth="1"/>
    <col min="2051" max="2051" width="10.28515625" style="99" bestFit="1" customWidth="1"/>
    <col min="2052" max="2052" width="8.5703125" style="99" bestFit="1" customWidth="1"/>
    <col min="2053" max="2053" width="5.7109375" style="99" bestFit="1" customWidth="1"/>
    <col min="2054" max="2054" width="8.42578125" style="99" bestFit="1" customWidth="1"/>
    <col min="2055" max="2055" width="10.140625" style="99" bestFit="1" customWidth="1"/>
    <col min="2056" max="2056" width="7.28515625" style="99" bestFit="1" customWidth="1"/>
    <col min="2057" max="2057" width="8.85546875" style="99" bestFit="1" customWidth="1"/>
    <col min="2058" max="2305" width="9.140625" style="99"/>
    <col min="2306" max="2306" width="24" style="99" bestFit="1" customWidth="1"/>
    <col min="2307" max="2307" width="10.28515625" style="99" bestFit="1" customWidth="1"/>
    <col min="2308" max="2308" width="8.5703125" style="99" bestFit="1" customWidth="1"/>
    <col min="2309" max="2309" width="5.7109375" style="99" bestFit="1" customWidth="1"/>
    <col min="2310" max="2310" width="8.42578125" style="99" bestFit="1" customWidth="1"/>
    <col min="2311" max="2311" width="10.140625" style="99" bestFit="1" customWidth="1"/>
    <col min="2312" max="2312" width="7.28515625" style="99" bestFit="1" customWidth="1"/>
    <col min="2313" max="2313" width="8.85546875" style="99" bestFit="1" customWidth="1"/>
    <col min="2314" max="2561" width="9.140625" style="99"/>
    <col min="2562" max="2562" width="24" style="99" bestFit="1" customWidth="1"/>
    <col min="2563" max="2563" width="10.28515625" style="99" bestFit="1" customWidth="1"/>
    <col min="2564" max="2564" width="8.5703125" style="99" bestFit="1" customWidth="1"/>
    <col min="2565" max="2565" width="5.7109375" style="99" bestFit="1" customWidth="1"/>
    <col min="2566" max="2566" width="8.42578125" style="99" bestFit="1" customWidth="1"/>
    <col min="2567" max="2567" width="10.140625" style="99" bestFit="1" customWidth="1"/>
    <col min="2568" max="2568" width="7.28515625" style="99" bestFit="1" customWidth="1"/>
    <col min="2569" max="2569" width="8.85546875" style="99" bestFit="1" customWidth="1"/>
    <col min="2570" max="2817" width="9.140625" style="99"/>
    <col min="2818" max="2818" width="24" style="99" bestFit="1" customWidth="1"/>
    <col min="2819" max="2819" width="10.28515625" style="99" bestFit="1" customWidth="1"/>
    <col min="2820" max="2820" width="8.5703125" style="99" bestFit="1" customWidth="1"/>
    <col min="2821" max="2821" width="5.7109375" style="99" bestFit="1" customWidth="1"/>
    <col min="2822" max="2822" width="8.42578125" style="99" bestFit="1" customWidth="1"/>
    <col min="2823" max="2823" width="10.140625" style="99" bestFit="1" customWidth="1"/>
    <col min="2824" max="2824" width="7.28515625" style="99" bestFit="1" customWidth="1"/>
    <col min="2825" max="2825" width="8.85546875" style="99" bestFit="1" customWidth="1"/>
    <col min="2826" max="3073" width="9.140625" style="99"/>
    <col min="3074" max="3074" width="24" style="99" bestFit="1" customWidth="1"/>
    <col min="3075" max="3075" width="10.28515625" style="99" bestFit="1" customWidth="1"/>
    <col min="3076" max="3076" width="8.5703125" style="99" bestFit="1" customWidth="1"/>
    <col min="3077" max="3077" width="5.7109375" style="99" bestFit="1" customWidth="1"/>
    <col min="3078" max="3078" width="8.42578125" style="99" bestFit="1" customWidth="1"/>
    <col min="3079" max="3079" width="10.140625" style="99" bestFit="1" customWidth="1"/>
    <col min="3080" max="3080" width="7.28515625" style="99" bestFit="1" customWidth="1"/>
    <col min="3081" max="3081" width="8.85546875" style="99" bestFit="1" customWidth="1"/>
    <col min="3082" max="3329" width="9.140625" style="99"/>
    <col min="3330" max="3330" width="24" style="99" bestFit="1" customWidth="1"/>
    <col min="3331" max="3331" width="10.28515625" style="99" bestFit="1" customWidth="1"/>
    <col min="3332" max="3332" width="8.5703125" style="99" bestFit="1" customWidth="1"/>
    <col min="3333" max="3333" width="5.7109375" style="99" bestFit="1" customWidth="1"/>
    <col min="3334" max="3334" width="8.42578125" style="99" bestFit="1" customWidth="1"/>
    <col min="3335" max="3335" width="10.140625" style="99" bestFit="1" customWidth="1"/>
    <col min="3336" max="3336" width="7.28515625" style="99" bestFit="1" customWidth="1"/>
    <col min="3337" max="3337" width="8.85546875" style="99" bestFit="1" customWidth="1"/>
    <col min="3338" max="3585" width="9.140625" style="99"/>
    <col min="3586" max="3586" width="24" style="99" bestFit="1" customWidth="1"/>
    <col min="3587" max="3587" width="10.28515625" style="99" bestFit="1" customWidth="1"/>
    <col min="3588" max="3588" width="8.5703125" style="99" bestFit="1" customWidth="1"/>
    <col min="3589" max="3589" width="5.7109375" style="99" bestFit="1" customWidth="1"/>
    <col min="3590" max="3590" width="8.42578125" style="99" bestFit="1" customWidth="1"/>
    <col min="3591" max="3591" width="10.140625" style="99" bestFit="1" customWidth="1"/>
    <col min="3592" max="3592" width="7.28515625" style="99" bestFit="1" customWidth="1"/>
    <col min="3593" max="3593" width="8.85546875" style="99" bestFit="1" customWidth="1"/>
    <col min="3594" max="3841" width="9.140625" style="99"/>
    <col min="3842" max="3842" width="24" style="99" bestFit="1" customWidth="1"/>
    <col min="3843" max="3843" width="10.28515625" style="99" bestFit="1" customWidth="1"/>
    <col min="3844" max="3844" width="8.5703125" style="99" bestFit="1" customWidth="1"/>
    <col min="3845" max="3845" width="5.7109375" style="99" bestFit="1" customWidth="1"/>
    <col min="3846" max="3846" width="8.42578125" style="99" bestFit="1" customWidth="1"/>
    <col min="3847" max="3847" width="10.140625" style="99" bestFit="1" customWidth="1"/>
    <col min="3848" max="3848" width="7.28515625" style="99" bestFit="1" customWidth="1"/>
    <col min="3849" max="3849" width="8.85546875" style="99" bestFit="1" customWidth="1"/>
    <col min="3850" max="4097" width="9.140625" style="99"/>
    <col min="4098" max="4098" width="24" style="99" bestFit="1" customWidth="1"/>
    <col min="4099" max="4099" width="10.28515625" style="99" bestFit="1" customWidth="1"/>
    <col min="4100" max="4100" width="8.5703125" style="99" bestFit="1" customWidth="1"/>
    <col min="4101" max="4101" width="5.7109375" style="99" bestFit="1" customWidth="1"/>
    <col min="4102" max="4102" width="8.42578125" style="99" bestFit="1" customWidth="1"/>
    <col min="4103" max="4103" width="10.140625" style="99" bestFit="1" customWidth="1"/>
    <col min="4104" max="4104" width="7.28515625" style="99" bestFit="1" customWidth="1"/>
    <col min="4105" max="4105" width="8.85546875" style="99" bestFit="1" customWidth="1"/>
    <col min="4106" max="4353" width="9.140625" style="99"/>
    <col min="4354" max="4354" width="24" style="99" bestFit="1" customWidth="1"/>
    <col min="4355" max="4355" width="10.28515625" style="99" bestFit="1" customWidth="1"/>
    <col min="4356" max="4356" width="8.5703125" style="99" bestFit="1" customWidth="1"/>
    <col min="4357" max="4357" width="5.7109375" style="99" bestFit="1" customWidth="1"/>
    <col min="4358" max="4358" width="8.42578125" style="99" bestFit="1" customWidth="1"/>
    <col min="4359" max="4359" width="10.140625" style="99" bestFit="1" customWidth="1"/>
    <col min="4360" max="4360" width="7.28515625" style="99" bestFit="1" customWidth="1"/>
    <col min="4361" max="4361" width="8.85546875" style="99" bestFit="1" customWidth="1"/>
    <col min="4362" max="4609" width="9.140625" style="99"/>
    <col min="4610" max="4610" width="24" style="99" bestFit="1" customWidth="1"/>
    <col min="4611" max="4611" width="10.28515625" style="99" bestFit="1" customWidth="1"/>
    <col min="4612" max="4612" width="8.5703125" style="99" bestFit="1" customWidth="1"/>
    <col min="4613" max="4613" width="5.7109375" style="99" bestFit="1" customWidth="1"/>
    <col min="4614" max="4614" width="8.42578125" style="99" bestFit="1" customWidth="1"/>
    <col min="4615" max="4615" width="10.140625" style="99" bestFit="1" customWidth="1"/>
    <col min="4616" max="4616" width="7.28515625" style="99" bestFit="1" customWidth="1"/>
    <col min="4617" max="4617" width="8.85546875" style="99" bestFit="1" customWidth="1"/>
    <col min="4618" max="4865" width="9.140625" style="99"/>
    <col min="4866" max="4866" width="24" style="99" bestFit="1" customWidth="1"/>
    <col min="4867" max="4867" width="10.28515625" style="99" bestFit="1" customWidth="1"/>
    <col min="4868" max="4868" width="8.5703125" style="99" bestFit="1" customWidth="1"/>
    <col min="4869" max="4869" width="5.7109375" style="99" bestFit="1" customWidth="1"/>
    <col min="4870" max="4870" width="8.42578125" style="99" bestFit="1" customWidth="1"/>
    <col min="4871" max="4871" width="10.140625" style="99" bestFit="1" customWidth="1"/>
    <col min="4872" max="4872" width="7.28515625" style="99" bestFit="1" customWidth="1"/>
    <col min="4873" max="4873" width="8.85546875" style="99" bestFit="1" customWidth="1"/>
    <col min="4874" max="5121" width="9.140625" style="99"/>
    <col min="5122" max="5122" width="24" style="99" bestFit="1" customWidth="1"/>
    <col min="5123" max="5123" width="10.28515625" style="99" bestFit="1" customWidth="1"/>
    <col min="5124" max="5124" width="8.5703125" style="99" bestFit="1" customWidth="1"/>
    <col min="5125" max="5125" width="5.7109375" style="99" bestFit="1" customWidth="1"/>
    <col min="5126" max="5126" width="8.42578125" style="99" bestFit="1" customWidth="1"/>
    <col min="5127" max="5127" width="10.140625" style="99" bestFit="1" customWidth="1"/>
    <col min="5128" max="5128" width="7.28515625" style="99" bestFit="1" customWidth="1"/>
    <col min="5129" max="5129" width="8.85546875" style="99" bestFit="1" customWidth="1"/>
    <col min="5130" max="5377" width="9.140625" style="99"/>
    <col min="5378" max="5378" width="24" style="99" bestFit="1" customWidth="1"/>
    <col min="5379" max="5379" width="10.28515625" style="99" bestFit="1" customWidth="1"/>
    <col min="5380" max="5380" width="8.5703125" style="99" bestFit="1" customWidth="1"/>
    <col min="5381" max="5381" width="5.7109375" style="99" bestFit="1" customWidth="1"/>
    <col min="5382" max="5382" width="8.42578125" style="99" bestFit="1" customWidth="1"/>
    <col min="5383" max="5383" width="10.140625" style="99" bestFit="1" customWidth="1"/>
    <col min="5384" max="5384" width="7.28515625" style="99" bestFit="1" customWidth="1"/>
    <col min="5385" max="5385" width="8.85546875" style="99" bestFit="1" customWidth="1"/>
    <col min="5386" max="5633" width="9.140625" style="99"/>
    <col min="5634" max="5634" width="24" style="99" bestFit="1" customWidth="1"/>
    <col min="5635" max="5635" width="10.28515625" style="99" bestFit="1" customWidth="1"/>
    <col min="5636" max="5636" width="8.5703125" style="99" bestFit="1" customWidth="1"/>
    <col min="5637" max="5637" width="5.7109375" style="99" bestFit="1" customWidth="1"/>
    <col min="5638" max="5638" width="8.42578125" style="99" bestFit="1" customWidth="1"/>
    <col min="5639" max="5639" width="10.140625" style="99" bestFit="1" customWidth="1"/>
    <col min="5640" max="5640" width="7.28515625" style="99" bestFit="1" customWidth="1"/>
    <col min="5641" max="5641" width="8.85546875" style="99" bestFit="1" customWidth="1"/>
    <col min="5642" max="5889" width="9.140625" style="99"/>
    <col min="5890" max="5890" width="24" style="99" bestFit="1" customWidth="1"/>
    <col min="5891" max="5891" width="10.28515625" style="99" bestFit="1" customWidth="1"/>
    <col min="5892" max="5892" width="8.5703125" style="99" bestFit="1" customWidth="1"/>
    <col min="5893" max="5893" width="5.7109375" style="99" bestFit="1" customWidth="1"/>
    <col min="5894" max="5894" width="8.42578125" style="99" bestFit="1" customWidth="1"/>
    <col min="5895" max="5895" width="10.140625" style="99" bestFit="1" customWidth="1"/>
    <col min="5896" max="5896" width="7.28515625" style="99" bestFit="1" customWidth="1"/>
    <col min="5897" max="5897" width="8.85546875" style="99" bestFit="1" customWidth="1"/>
    <col min="5898" max="6145" width="9.140625" style="99"/>
    <col min="6146" max="6146" width="24" style="99" bestFit="1" customWidth="1"/>
    <col min="6147" max="6147" width="10.28515625" style="99" bestFit="1" customWidth="1"/>
    <col min="6148" max="6148" width="8.5703125" style="99" bestFit="1" customWidth="1"/>
    <col min="6149" max="6149" width="5.7109375" style="99" bestFit="1" customWidth="1"/>
    <col min="6150" max="6150" width="8.42578125" style="99" bestFit="1" customWidth="1"/>
    <col min="6151" max="6151" width="10.140625" style="99" bestFit="1" customWidth="1"/>
    <col min="6152" max="6152" width="7.28515625" style="99" bestFit="1" customWidth="1"/>
    <col min="6153" max="6153" width="8.85546875" style="99" bestFit="1" customWidth="1"/>
    <col min="6154" max="6401" width="9.140625" style="99"/>
    <col min="6402" max="6402" width="24" style="99" bestFit="1" customWidth="1"/>
    <col min="6403" max="6403" width="10.28515625" style="99" bestFit="1" customWidth="1"/>
    <col min="6404" max="6404" width="8.5703125" style="99" bestFit="1" customWidth="1"/>
    <col min="6405" max="6405" width="5.7109375" style="99" bestFit="1" customWidth="1"/>
    <col min="6406" max="6406" width="8.42578125" style="99" bestFit="1" customWidth="1"/>
    <col min="6407" max="6407" width="10.140625" style="99" bestFit="1" customWidth="1"/>
    <col min="6408" max="6408" width="7.28515625" style="99" bestFit="1" customWidth="1"/>
    <col min="6409" max="6409" width="8.85546875" style="99" bestFit="1" customWidth="1"/>
    <col min="6410" max="6657" width="9.140625" style="99"/>
    <col min="6658" max="6658" width="24" style="99" bestFit="1" customWidth="1"/>
    <col min="6659" max="6659" width="10.28515625" style="99" bestFit="1" customWidth="1"/>
    <col min="6660" max="6660" width="8.5703125" style="99" bestFit="1" customWidth="1"/>
    <col min="6661" max="6661" width="5.7109375" style="99" bestFit="1" customWidth="1"/>
    <col min="6662" max="6662" width="8.42578125" style="99" bestFit="1" customWidth="1"/>
    <col min="6663" max="6663" width="10.140625" style="99" bestFit="1" customWidth="1"/>
    <col min="6664" max="6664" width="7.28515625" style="99" bestFit="1" customWidth="1"/>
    <col min="6665" max="6665" width="8.85546875" style="99" bestFit="1" customWidth="1"/>
    <col min="6666" max="6913" width="9.140625" style="99"/>
    <col min="6914" max="6914" width="24" style="99" bestFit="1" customWidth="1"/>
    <col min="6915" max="6915" width="10.28515625" style="99" bestFit="1" customWidth="1"/>
    <col min="6916" max="6916" width="8.5703125" style="99" bestFit="1" customWidth="1"/>
    <col min="6917" max="6917" width="5.7109375" style="99" bestFit="1" customWidth="1"/>
    <col min="6918" max="6918" width="8.42578125" style="99" bestFit="1" customWidth="1"/>
    <col min="6919" max="6919" width="10.140625" style="99" bestFit="1" customWidth="1"/>
    <col min="6920" max="6920" width="7.28515625" style="99" bestFit="1" customWidth="1"/>
    <col min="6921" max="6921" width="8.85546875" style="99" bestFit="1" customWidth="1"/>
    <col min="6922" max="7169" width="9.140625" style="99"/>
    <col min="7170" max="7170" width="24" style="99" bestFit="1" customWidth="1"/>
    <col min="7171" max="7171" width="10.28515625" style="99" bestFit="1" customWidth="1"/>
    <col min="7172" max="7172" width="8.5703125" style="99" bestFit="1" customWidth="1"/>
    <col min="7173" max="7173" width="5.7109375" style="99" bestFit="1" customWidth="1"/>
    <col min="7174" max="7174" width="8.42578125" style="99" bestFit="1" customWidth="1"/>
    <col min="7175" max="7175" width="10.140625" style="99" bestFit="1" customWidth="1"/>
    <col min="7176" max="7176" width="7.28515625" style="99" bestFit="1" customWidth="1"/>
    <col min="7177" max="7177" width="8.85546875" style="99" bestFit="1" customWidth="1"/>
    <col min="7178" max="7425" width="9.140625" style="99"/>
    <col min="7426" max="7426" width="24" style="99" bestFit="1" customWidth="1"/>
    <col min="7427" max="7427" width="10.28515625" style="99" bestFit="1" customWidth="1"/>
    <col min="7428" max="7428" width="8.5703125" style="99" bestFit="1" customWidth="1"/>
    <col min="7429" max="7429" width="5.7109375" style="99" bestFit="1" customWidth="1"/>
    <col min="7430" max="7430" width="8.42578125" style="99" bestFit="1" customWidth="1"/>
    <col min="7431" max="7431" width="10.140625" style="99" bestFit="1" customWidth="1"/>
    <col min="7432" max="7432" width="7.28515625" style="99" bestFit="1" customWidth="1"/>
    <col min="7433" max="7433" width="8.85546875" style="99" bestFit="1" customWidth="1"/>
    <col min="7434" max="7681" width="9.140625" style="99"/>
    <col min="7682" max="7682" width="24" style="99" bestFit="1" customWidth="1"/>
    <col min="7683" max="7683" width="10.28515625" style="99" bestFit="1" customWidth="1"/>
    <col min="7684" max="7684" width="8.5703125" style="99" bestFit="1" customWidth="1"/>
    <col min="7685" max="7685" width="5.7109375" style="99" bestFit="1" customWidth="1"/>
    <col min="7686" max="7686" width="8.42578125" style="99" bestFit="1" customWidth="1"/>
    <col min="7687" max="7687" width="10.140625" style="99" bestFit="1" customWidth="1"/>
    <col min="7688" max="7688" width="7.28515625" style="99" bestFit="1" customWidth="1"/>
    <col min="7689" max="7689" width="8.85546875" style="99" bestFit="1" customWidth="1"/>
    <col min="7690" max="7937" width="9.140625" style="99"/>
    <col min="7938" max="7938" width="24" style="99" bestFit="1" customWidth="1"/>
    <col min="7939" max="7939" width="10.28515625" style="99" bestFit="1" customWidth="1"/>
    <col min="7940" max="7940" width="8.5703125" style="99" bestFit="1" customWidth="1"/>
    <col min="7941" max="7941" width="5.7109375" style="99" bestFit="1" customWidth="1"/>
    <col min="7942" max="7942" width="8.42578125" style="99" bestFit="1" customWidth="1"/>
    <col min="7943" max="7943" width="10.140625" style="99" bestFit="1" customWidth="1"/>
    <col min="7944" max="7944" width="7.28515625" style="99" bestFit="1" customWidth="1"/>
    <col min="7945" max="7945" width="8.85546875" style="99" bestFit="1" customWidth="1"/>
    <col min="7946" max="8193" width="9.140625" style="99"/>
    <col min="8194" max="8194" width="24" style="99" bestFit="1" customWidth="1"/>
    <col min="8195" max="8195" width="10.28515625" style="99" bestFit="1" customWidth="1"/>
    <col min="8196" max="8196" width="8.5703125" style="99" bestFit="1" customWidth="1"/>
    <col min="8197" max="8197" width="5.7109375" style="99" bestFit="1" customWidth="1"/>
    <col min="8198" max="8198" width="8.42578125" style="99" bestFit="1" customWidth="1"/>
    <col min="8199" max="8199" width="10.140625" style="99" bestFit="1" customWidth="1"/>
    <col min="8200" max="8200" width="7.28515625" style="99" bestFit="1" customWidth="1"/>
    <col min="8201" max="8201" width="8.85546875" style="99" bestFit="1" customWidth="1"/>
    <col min="8202" max="8449" width="9.140625" style="99"/>
    <col min="8450" max="8450" width="24" style="99" bestFit="1" customWidth="1"/>
    <col min="8451" max="8451" width="10.28515625" style="99" bestFit="1" customWidth="1"/>
    <col min="8452" max="8452" width="8.5703125" style="99" bestFit="1" customWidth="1"/>
    <col min="8453" max="8453" width="5.7109375" style="99" bestFit="1" customWidth="1"/>
    <col min="8454" max="8454" width="8.42578125" style="99" bestFit="1" customWidth="1"/>
    <col min="8455" max="8455" width="10.140625" style="99" bestFit="1" customWidth="1"/>
    <col min="8456" max="8456" width="7.28515625" style="99" bestFit="1" customWidth="1"/>
    <col min="8457" max="8457" width="8.85546875" style="99" bestFit="1" customWidth="1"/>
    <col min="8458" max="8705" width="9.140625" style="99"/>
    <col min="8706" max="8706" width="24" style="99" bestFit="1" customWidth="1"/>
    <col min="8707" max="8707" width="10.28515625" style="99" bestFit="1" customWidth="1"/>
    <col min="8708" max="8708" width="8.5703125" style="99" bestFit="1" customWidth="1"/>
    <col min="8709" max="8709" width="5.7109375" style="99" bestFit="1" customWidth="1"/>
    <col min="8710" max="8710" width="8.42578125" style="99" bestFit="1" customWidth="1"/>
    <col min="8711" max="8711" width="10.140625" style="99" bestFit="1" customWidth="1"/>
    <col min="8712" max="8712" width="7.28515625" style="99" bestFit="1" customWidth="1"/>
    <col min="8713" max="8713" width="8.85546875" style="99" bestFit="1" customWidth="1"/>
    <col min="8714" max="8961" width="9.140625" style="99"/>
    <col min="8962" max="8962" width="24" style="99" bestFit="1" customWidth="1"/>
    <col min="8963" max="8963" width="10.28515625" style="99" bestFit="1" customWidth="1"/>
    <col min="8964" max="8964" width="8.5703125" style="99" bestFit="1" customWidth="1"/>
    <col min="8965" max="8965" width="5.7109375" style="99" bestFit="1" customWidth="1"/>
    <col min="8966" max="8966" width="8.42578125" style="99" bestFit="1" customWidth="1"/>
    <col min="8967" max="8967" width="10.140625" style="99" bestFit="1" customWidth="1"/>
    <col min="8968" max="8968" width="7.28515625" style="99" bestFit="1" customWidth="1"/>
    <col min="8969" max="8969" width="8.85546875" style="99" bestFit="1" customWidth="1"/>
    <col min="8970" max="9217" width="9.140625" style="99"/>
    <col min="9218" max="9218" width="24" style="99" bestFit="1" customWidth="1"/>
    <col min="9219" max="9219" width="10.28515625" style="99" bestFit="1" customWidth="1"/>
    <col min="9220" max="9220" width="8.5703125" style="99" bestFit="1" customWidth="1"/>
    <col min="9221" max="9221" width="5.7109375" style="99" bestFit="1" customWidth="1"/>
    <col min="9222" max="9222" width="8.42578125" style="99" bestFit="1" customWidth="1"/>
    <col min="9223" max="9223" width="10.140625" style="99" bestFit="1" customWidth="1"/>
    <col min="9224" max="9224" width="7.28515625" style="99" bestFit="1" customWidth="1"/>
    <col min="9225" max="9225" width="8.85546875" style="99" bestFit="1" customWidth="1"/>
    <col min="9226" max="9473" width="9.140625" style="99"/>
    <col min="9474" max="9474" width="24" style="99" bestFit="1" customWidth="1"/>
    <col min="9475" max="9475" width="10.28515625" style="99" bestFit="1" customWidth="1"/>
    <col min="9476" max="9476" width="8.5703125" style="99" bestFit="1" customWidth="1"/>
    <col min="9477" max="9477" width="5.7109375" style="99" bestFit="1" customWidth="1"/>
    <col min="9478" max="9478" width="8.42578125" style="99" bestFit="1" customWidth="1"/>
    <col min="9479" max="9479" width="10.140625" style="99" bestFit="1" customWidth="1"/>
    <col min="9480" max="9480" width="7.28515625" style="99" bestFit="1" customWidth="1"/>
    <col min="9481" max="9481" width="8.85546875" style="99" bestFit="1" customWidth="1"/>
    <col min="9482" max="9729" width="9.140625" style="99"/>
    <col min="9730" max="9730" width="24" style="99" bestFit="1" customWidth="1"/>
    <col min="9731" max="9731" width="10.28515625" style="99" bestFit="1" customWidth="1"/>
    <col min="9732" max="9732" width="8.5703125" style="99" bestFit="1" customWidth="1"/>
    <col min="9733" max="9733" width="5.7109375" style="99" bestFit="1" customWidth="1"/>
    <col min="9734" max="9734" width="8.42578125" style="99" bestFit="1" customWidth="1"/>
    <col min="9735" max="9735" width="10.140625" style="99" bestFit="1" customWidth="1"/>
    <col min="9736" max="9736" width="7.28515625" style="99" bestFit="1" customWidth="1"/>
    <col min="9737" max="9737" width="8.85546875" style="99" bestFit="1" customWidth="1"/>
    <col min="9738" max="9985" width="9.140625" style="99"/>
    <col min="9986" max="9986" width="24" style="99" bestFit="1" customWidth="1"/>
    <col min="9987" max="9987" width="10.28515625" style="99" bestFit="1" customWidth="1"/>
    <col min="9988" max="9988" width="8.5703125" style="99" bestFit="1" customWidth="1"/>
    <col min="9989" max="9989" width="5.7109375" style="99" bestFit="1" customWidth="1"/>
    <col min="9990" max="9990" width="8.42578125" style="99" bestFit="1" customWidth="1"/>
    <col min="9991" max="9991" width="10.140625" style="99" bestFit="1" customWidth="1"/>
    <col min="9992" max="9992" width="7.28515625" style="99" bestFit="1" customWidth="1"/>
    <col min="9993" max="9993" width="8.85546875" style="99" bestFit="1" customWidth="1"/>
    <col min="9994" max="10241" width="9.140625" style="99"/>
    <col min="10242" max="10242" width="24" style="99" bestFit="1" customWidth="1"/>
    <col min="10243" max="10243" width="10.28515625" style="99" bestFit="1" customWidth="1"/>
    <col min="10244" max="10244" width="8.5703125" style="99" bestFit="1" customWidth="1"/>
    <col min="10245" max="10245" width="5.7109375" style="99" bestFit="1" customWidth="1"/>
    <col min="10246" max="10246" width="8.42578125" style="99" bestFit="1" customWidth="1"/>
    <col min="10247" max="10247" width="10.140625" style="99" bestFit="1" customWidth="1"/>
    <col min="10248" max="10248" width="7.28515625" style="99" bestFit="1" customWidth="1"/>
    <col min="10249" max="10249" width="8.85546875" style="99" bestFit="1" customWidth="1"/>
    <col min="10250" max="10497" width="9.140625" style="99"/>
    <col min="10498" max="10498" width="24" style="99" bestFit="1" customWidth="1"/>
    <col min="10499" max="10499" width="10.28515625" style="99" bestFit="1" customWidth="1"/>
    <col min="10500" max="10500" width="8.5703125" style="99" bestFit="1" customWidth="1"/>
    <col min="10501" max="10501" width="5.7109375" style="99" bestFit="1" customWidth="1"/>
    <col min="10502" max="10502" width="8.42578125" style="99" bestFit="1" customWidth="1"/>
    <col min="10503" max="10503" width="10.140625" style="99" bestFit="1" customWidth="1"/>
    <col min="10504" max="10504" width="7.28515625" style="99" bestFit="1" customWidth="1"/>
    <col min="10505" max="10505" width="8.85546875" style="99" bestFit="1" customWidth="1"/>
    <col min="10506" max="10753" width="9.140625" style="99"/>
    <col min="10754" max="10754" width="24" style="99" bestFit="1" customWidth="1"/>
    <col min="10755" max="10755" width="10.28515625" style="99" bestFit="1" customWidth="1"/>
    <col min="10756" max="10756" width="8.5703125" style="99" bestFit="1" customWidth="1"/>
    <col min="10757" max="10757" width="5.7109375" style="99" bestFit="1" customWidth="1"/>
    <col min="10758" max="10758" width="8.42578125" style="99" bestFit="1" customWidth="1"/>
    <col min="10759" max="10759" width="10.140625" style="99" bestFit="1" customWidth="1"/>
    <col min="10760" max="10760" width="7.28515625" style="99" bestFit="1" customWidth="1"/>
    <col min="10761" max="10761" width="8.85546875" style="99" bestFit="1" customWidth="1"/>
    <col min="10762" max="11009" width="9.140625" style="99"/>
    <col min="11010" max="11010" width="24" style="99" bestFit="1" customWidth="1"/>
    <col min="11011" max="11011" width="10.28515625" style="99" bestFit="1" customWidth="1"/>
    <col min="11012" max="11012" width="8.5703125" style="99" bestFit="1" customWidth="1"/>
    <col min="11013" max="11013" width="5.7109375" style="99" bestFit="1" customWidth="1"/>
    <col min="11014" max="11014" width="8.42578125" style="99" bestFit="1" customWidth="1"/>
    <col min="11015" max="11015" width="10.140625" style="99" bestFit="1" customWidth="1"/>
    <col min="11016" max="11016" width="7.28515625" style="99" bestFit="1" customWidth="1"/>
    <col min="11017" max="11017" width="8.85546875" style="99" bestFit="1" customWidth="1"/>
    <col min="11018" max="11265" width="9.140625" style="99"/>
    <col min="11266" max="11266" width="24" style="99" bestFit="1" customWidth="1"/>
    <col min="11267" max="11267" width="10.28515625" style="99" bestFit="1" customWidth="1"/>
    <col min="11268" max="11268" width="8.5703125" style="99" bestFit="1" customWidth="1"/>
    <col min="11269" max="11269" width="5.7109375" style="99" bestFit="1" customWidth="1"/>
    <col min="11270" max="11270" width="8.42578125" style="99" bestFit="1" customWidth="1"/>
    <col min="11271" max="11271" width="10.140625" style="99" bestFit="1" customWidth="1"/>
    <col min="11272" max="11272" width="7.28515625" style="99" bestFit="1" customWidth="1"/>
    <col min="11273" max="11273" width="8.85546875" style="99" bestFit="1" customWidth="1"/>
    <col min="11274" max="11521" width="9.140625" style="99"/>
    <col min="11522" max="11522" width="24" style="99" bestFit="1" customWidth="1"/>
    <col min="11523" max="11523" width="10.28515625" style="99" bestFit="1" customWidth="1"/>
    <col min="11524" max="11524" width="8.5703125" style="99" bestFit="1" customWidth="1"/>
    <col min="11525" max="11525" width="5.7109375" style="99" bestFit="1" customWidth="1"/>
    <col min="11526" max="11526" width="8.42578125" style="99" bestFit="1" customWidth="1"/>
    <col min="11527" max="11527" width="10.140625" style="99" bestFit="1" customWidth="1"/>
    <col min="11528" max="11528" width="7.28515625" style="99" bestFit="1" customWidth="1"/>
    <col min="11529" max="11529" width="8.85546875" style="99" bestFit="1" customWidth="1"/>
    <col min="11530" max="11777" width="9.140625" style="99"/>
    <col min="11778" max="11778" width="24" style="99" bestFit="1" customWidth="1"/>
    <col min="11779" max="11779" width="10.28515625" style="99" bestFit="1" customWidth="1"/>
    <col min="11780" max="11780" width="8.5703125" style="99" bestFit="1" customWidth="1"/>
    <col min="11781" max="11781" width="5.7109375" style="99" bestFit="1" customWidth="1"/>
    <col min="11782" max="11782" width="8.42578125" style="99" bestFit="1" customWidth="1"/>
    <col min="11783" max="11783" width="10.140625" style="99" bestFit="1" customWidth="1"/>
    <col min="11784" max="11784" width="7.28515625" style="99" bestFit="1" customWidth="1"/>
    <col min="11785" max="11785" width="8.85546875" style="99" bestFit="1" customWidth="1"/>
    <col min="11786" max="12033" width="9.140625" style="99"/>
    <col min="12034" max="12034" width="24" style="99" bestFit="1" customWidth="1"/>
    <col min="12035" max="12035" width="10.28515625" style="99" bestFit="1" customWidth="1"/>
    <col min="12036" max="12036" width="8.5703125" style="99" bestFit="1" customWidth="1"/>
    <col min="12037" max="12037" width="5.7109375" style="99" bestFit="1" customWidth="1"/>
    <col min="12038" max="12038" width="8.42578125" style="99" bestFit="1" customWidth="1"/>
    <col min="12039" max="12039" width="10.140625" style="99" bestFit="1" customWidth="1"/>
    <col min="12040" max="12040" width="7.28515625" style="99" bestFit="1" customWidth="1"/>
    <col min="12041" max="12041" width="8.85546875" style="99" bestFit="1" customWidth="1"/>
    <col min="12042" max="12289" width="9.140625" style="99"/>
    <col min="12290" max="12290" width="24" style="99" bestFit="1" customWidth="1"/>
    <col min="12291" max="12291" width="10.28515625" style="99" bestFit="1" customWidth="1"/>
    <col min="12292" max="12292" width="8.5703125" style="99" bestFit="1" customWidth="1"/>
    <col min="12293" max="12293" width="5.7109375" style="99" bestFit="1" customWidth="1"/>
    <col min="12294" max="12294" width="8.42578125" style="99" bestFit="1" customWidth="1"/>
    <col min="12295" max="12295" width="10.140625" style="99" bestFit="1" customWidth="1"/>
    <col min="12296" max="12296" width="7.28515625" style="99" bestFit="1" customWidth="1"/>
    <col min="12297" max="12297" width="8.85546875" style="99" bestFit="1" customWidth="1"/>
    <col min="12298" max="12545" width="9.140625" style="99"/>
    <col min="12546" max="12546" width="24" style="99" bestFit="1" customWidth="1"/>
    <col min="12547" max="12547" width="10.28515625" style="99" bestFit="1" customWidth="1"/>
    <col min="12548" max="12548" width="8.5703125" style="99" bestFit="1" customWidth="1"/>
    <col min="12549" max="12549" width="5.7109375" style="99" bestFit="1" customWidth="1"/>
    <col min="12550" max="12550" width="8.42578125" style="99" bestFit="1" customWidth="1"/>
    <col min="12551" max="12551" width="10.140625" style="99" bestFit="1" customWidth="1"/>
    <col min="12552" max="12552" width="7.28515625" style="99" bestFit="1" customWidth="1"/>
    <col min="12553" max="12553" width="8.85546875" style="99" bestFit="1" customWidth="1"/>
    <col min="12554" max="12801" width="9.140625" style="99"/>
    <col min="12802" max="12802" width="24" style="99" bestFit="1" customWidth="1"/>
    <col min="12803" max="12803" width="10.28515625" style="99" bestFit="1" customWidth="1"/>
    <col min="12804" max="12804" width="8.5703125" style="99" bestFit="1" customWidth="1"/>
    <col min="12805" max="12805" width="5.7109375" style="99" bestFit="1" customWidth="1"/>
    <col min="12806" max="12806" width="8.42578125" style="99" bestFit="1" customWidth="1"/>
    <col min="12807" max="12807" width="10.140625" style="99" bestFit="1" customWidth="1"/>
    <col min="12808" max="12808" width="7.28515625" style="99" bestFit="1" customWidth="1"/>
    <col min="12809" max="12809" width="8.85546875" style="99" bestFit="1" customWidth="1"/>
    <col min="12810" max="13057" width="9.140625" style="99"/>
    <col min="13058" max="13058" width="24" style="99" bestFit="1" customWidth="1"/>
    <col min="13059" max="13059" width="10.28515625" style="99" bestFit="1" customWidth="1"/>
    <col min="13060" max="13060" width="8.5703125" style="99" bestFit="1" customWidth="1"/>
    <col min="13061" max="13061" width="5.7109375" style="99" bestFit="1" customWidth="1"/>
    <col min="13062" max="13062" width="8.42578125" style="99" bestFit="1" customWidth="1"/>
    <col min="13063" max="13063" width="10.140625" style="99" bestFit="1" customWidth="1"/>
    <col min="13064" max="13064" width="7.28515625" style="99" bestFit="1" customWidth="1"/>
    <col min="13065" max="13065" width="8.85546875" style="99" bestFit="1" customWidth="1"/>
    <col min="13066" max="13313" width="9.140625" style="99"/>
    <col min="13314" max="13314" width="24" style="99" bestFit="1" customWidth="1"/>
    <col min="13315" max="13315" width="10.28515625" style="99" bestFit="1" customWidth="1"/>
    <col min="13316" max="13316" width="8.5703125" style="99" bestFit="1" customWidth="1"/>
    <col min="13317" max="13317" width="5.7109375" style="99" bestFit="1" customWidth="1"/>
    <col min="13318" max="13318" width="8.42578125" style="99" bestFit="1" customWidth="1"/>
    <col min="13319" max="13319" width="10.140625" style="99" bestFit="1" customWidth="1"/>
    <col min="13320" max="13320" width="7.28515625" style="99" bestFit="1" customWidth="1"/>
    <col min="13321" max="13321" width="8.85546875" style="99" bestFit="1" customWidth="1"/>
    <col min="13322" max="13569" width="9.140625" style="99"/>
    <col min="13570" max="13570" width="24" style="99" bestFit="1" customWidth="1"/>
    <col min="13571" max="13571" width="10.28515625" style="99" bestFit="1" customWidth="1"/>
    <col min="13572" max="13572" width="8.5703125" style="99" bestFit="1" customWidth="1"/>
    <col min="13573" max="13573" width="5.7109375" style="99" bestFit="1" customWidth="1"/>
    <col min="13574" max="13574" width="8.42578125" style="99" bestFit="1" customWidth="1"/>
    <col min="13575" max="13575" width="10.140625" style="99" bestFit="1" customWidth="1"/>
    <col min="13576" max="13576" width="7.28515625" style="99" bestFit="1" customWidth="1"/>
    <col min="13577" max="13577" width="8.85546875" style="99" bestFit="1" customWidth="1"/>
    <col min="13578" max="13825" width="9.140625" style="99"/>
    <col min="13826" max="13826" width="24" style="99" bestFit="1" customWidth="1"/>
    <col min="13827" max="13827" width="10.28515625" style="99" bestFit="1" customWidth="1"/>
    <col min="13828" max="13828" width="8.5703125" style="99" bestFit="1" customWidth="1"/>
    <col min="13829" max="13829" width="5.7109375" style="99" bestFit="1" customWidth="1"/>
    <col min="13830" max="13830" width="8.42578125" style="99" bestFit="1" customWidth="1"/>
    <col min="13831" max="13831" width="10.140625" style="99" bestFit="1" customWidth="1"/>
    <col min="13832" max="13832" width="7.28515625" style="99" bestFit="1" customWidth="1"/>
    <col min="13833" max="13833" width="8.85546875" style="99" bestFit="1" customWidth="1"/>
    <col min="13834" max="14081" width="9.140625" style="99"/>
    <col min="14082" max="14082" width="24" style="99" bestFit="1" customWidth="1"/>
    <col min="14083" max="14083" width="10.28515625" style="99" bestFit="1" customWidth="1"/>
    <col min="14084" max="14084" width="8.5703125" style="99" bestFit="1" customWidth="1"/>
    <col min="14085" max="14085" width="5.7109375" style="99" bestFit="1" customWidth="1"/>
    <col min="14086" max="14086" width="8.42578125" style="99" bestFit="1" customWidth="1"/>
    <col min="14087" max="14087" width="10.140625" style="99" bestFit="1" customWidth="1"/>
    <col min="14088" max="14088" width="7.28515625" style="99" bestFit="1" customWidth="1"/>
    <col min="14089" max="14089" width="8.85546875" style="99" bestFit="1" customWidth="1"/>
    <col min="14090" max="14337" width="9.140625" style="99"/>
    <col min="14338" max="14338" width="24" style="99" bestFit="1" customWidth="1"/>
    <col min="14339" max="14339" width="10.28515625" style="99" bestFit="1" customWidth="1"/>
    <col min="14340" max="14340" width="8.5703125" style="99" bestFit="1" customWidth="1"/>
    <col min="14341" max="14341" width="5.7109375" style="99" bestFit="1" customWidth="1"/>
    <col min="14342" max="14342" width="8.42578125" style="99" bestFit="1" customWidth="1"/>
    <col min="14343" max="14343" width="10.140625" style="99" bestFit="1" customWidth="1"/>
    <col min="14344" max="14344" width="7.28515625" style="99" bestFit="1" customWidth="1"/>
    <col min="14345" max="14345" width="8.85546875" style="99" bestFit="1" customWidth="1"/>
    <col min="14346" max="14593" width="9.140625" style="99"/>
    <col min="14594" max="14594" width="24" style="99" bestFit="1" customWidth="1"/>
    <col min="14595" max="14595" width="10.28515625" style="99" bestFit="1" customWidth="1"/>
    <col min="14596" max="14596" width="8.5703125" style="99" bestFit="1" customWidth="1"/>
    <col min="14597" max="14597" width="5.7109375" style="99" bestFit="1" customWidth="1"/>
    <col min="14598" max="14598" width="8.42578125" style="99" bestFit="1" customWidth="1"/>
    <col min="14599" max="14599" width="10.140625" style="99" bestFit="1" customWidth="1"/>
    <col min="14600" max="14600" width="7.28515625" style="99" bestFit="1" customWidth="1"/>
    <col min="14601" max="14601" width="8.85546875" style="99" bestFit="1" customWidth="1"/>
    <col min="14602" max="14849" width="9.140625" style="99"/>
    <col min="14850" max="14850" width="24" style="99" bestFit="1" customWidth="1"/>
    <col min="14851" max="14851" width="10.28515625" style="99" bestFit="1" customWidth="1"/>
    <col min="14852" max="14852" width="8.5703125" style="99" bestFit="1" customWidth="1"/>
    <col min="14853" max="14853" width="5.7109375" style="99" bestFit="1" customWidth="1"/>
    <col min="14854" max="14854" width="8.42578125" style="99" bestFit="1" customWidth="1"/>
    <col min="14855" max="14855" width="10.140625" style="99" bestFit="1" customWidth="1"/>
    <col min="14856" max="14856" width="7.28515625" style="99" bestFit="1" customWidth="1"/>
    <col min="14857" max="14857" width="8.85546875" style="99" bestFit="1" customWidth="1"/>
    <col min="14858" max="15105" width="9.140625" style="99"/>
    <col min="15106" max="15106" width="24" style="99" bestFit="1" customWidth="1"/>
    <col min="15107" max="15107" width="10.28515625" style="99" bestFit="1" customWidth="1"/>
    <col min="15108" max="15108" width="8.5703125" style="99" bestFit="1" customWidth="1"/>
    <col min="15109" max="15109" width="5.7109375" style="99" bestFit="1" customWidth="1"/>
    <col min="15110" max="15110" width="8.42578125" style="99" bestFit="1" customWidth="1"/>
    <col min="15111" max="15111" width="10.140625" style="99" bestFit="1" customWidth="1"/>
    <col min="15112" max="15112" width="7.28515625" style="99" bestFit="1" customWidth="1"/>
    <col min="15113" max="15113" width="8.85546875" style="99" bestFit="1" customWidth="1"/>
    <col min="15114" max="15361" width="9.140625" style="99"/>
    <col min="15362" max="15362" width="24" style="99" bestFit="1" customWidth="1"/>
    <col min="15363" max="15363" width="10.28515625" style="99" bestFit="1" customWidth="1"/>
    <col min="15364" max="15364" width="8.5703125" style="99" bestFit="1" customWidth="1"/>
    <col min="15365" max="15365" width="5.7109375" style="99" bestFit="1" customWidth="1"/>
    <col min="15366" max="15366" width="8.42578125" style="99" bestFit="1" customWidth="1"/>
    <col min="15367" max="15367" width="10.140625" style="99" bestFit="1" customWidth="1"/>
    <col min="15368" max="15368" width="7.28515625" style="99" bestFit="1" customWidth="1"/>
    <col min="15369" max="15369" width="8.85546875" style="99" bestFit="1" customWidth="1"/>
    <col min="15370" max="15617" width="9.140625" style="99"/>
    <col min="15618" max="15618" width="24" style="99" bestFit="1" customWidth="1"/>
    <col min="15619" max="15619" width="10.28515625" style="99" bestFit="1" customWidth="1"/>
    <col min="15620" max="15620" width="8.5703125" style="99" bestFit="1" customWidth="1"/>
    <col min="15621" max="15621" width="5.7109375" style="99" bestFit="1" customWidth="1"/>
    <col min="15622" max="15622" width="8.42578125" style="99" bestFit="1" customWidth="1"/>
    <col min="15623" max="15623" width="10.140625" style="99" bestFit="1" customWidth="1"/>
    <col min="15624" max="15624" width="7.28515625" style="99" bestFit="1" customWidth="1"/>
    <col min="15625" max="15625" width="8.85546875" style="99" bestFit="1" customWidth="1"/>
    <col min="15626" max="15873" width="9.140625" style="99"/>
    <col min="15874" max="15874" width="24" style="99" bestFit="1" customWidth="1"/>
    <col min="15875" max="15875" width="10.28515625" style="99" bestFit="1" customWidth="1"/>
    <col min="15876" max="15876" width="8.5703125" style="99" bestFit="1" customWidth="1"/>
    <col min="15877" max="15877" width="5.7109375" style="99" bestFit="1" customWidth="1"/>
    <col min="15878" max="15878" width="8.42578125" style="99" bestFit="1" customWidth="1"/>
    <col min="15879" max="15879" width="10.140625" style="99" bestFit="1" customWidth="1"/>
    <col min="15880" max="15880" width="7.28515625" style="99" bestFit="1" customWidth="1"/>
    <col min="15881" max="15881" width="8.85546875" style="99" bestFit="1" customWidth="1"/>
    <col min="15882" max="16129" width="9.140625" style="99"/>
    <col min="16130" max="16130" width="24" style="99" bestFit="1" customWidth="1"/>
    <col min="16131" max="16131" width="10.28515625" style="99" bestFit="1" customWidth="1"/>
    <col min="16132" max="16132" width="8.5703125" style="99" bestFit="1" customWidth="1"/>
    <col min="16133" max="16133" width="5.7109375" style="99" bestFit="1" customWidth="1"/>
    <col min="16134" max="16134" width="8.42578125" style="99" bestFit="1" customWidth="1"/>
    <col min="16135" max="16135" width="10.140625" style="99" bestFit="1" customWidth="1"/>
    <col min="16136" max="16136" width="7.28515625" style="99" bestFit="1" customWidth="1"/>
    <col min="16137" max="16137" width="8.85546875" style="99" bestFit="1" customWidth="1"/>
    <col min="16138" max="16384" width="9.140625" style="99"/>
  </cols>
  <sheetData>
    <row r="1" spans="1:9" ht="19.5" thickTop="1">
      <c r="A1" s="258" t="s">
        <v>113</v>
      </c>
      <c r="B1" s="259"/>
      <c r="C1" s="259"/>
      <c r="D1" s="259"/>
      <c r="E1" s="259"/>
      <c r="F1" s="259"/>
      <c r="G1" s="259"/>
      <c r="H1" s="259"/>
      <c r="I1" s="260"/>
    </row>
    <row r="2" spans="1:9" ht="63.75">
      <c r="A2" s="100" t="s">
        <v>114</v>
      </c>
      <c r="B2" s="101" t="s">
        <v>115</v>
      </c>
      <c r="C2" s="101" t="s">
        <v>156</v>
      </c>
      <c r="D2" s="101" t="s">
        <v>117</v>
      </c>
      <c r="E2" s="101" t="s">
        <v>118</v>
      </c>
      <c r="F2" s="101" t="s">
        <v>119</v>
      </c>
      <c r="G2" s="101" t="s">
        <v>116</v>
      </c>
      <c r="H2" s="101" t="s">
        <v>120</v>
      </c>
      <c r="I2" s="102" t="s">
        <v>121</v>
      </c>
    </row>
    <row r="3" spans="1:9">
      <c r="A3" s="103" t="s">
        <v>122</v>
      </c>
      <c r="B3" s="104" t="s">
        <v>123</v>
      </c>
      <c r="C3" s="105">
        <v>325</v>
      </c>
      <c r="D3" s="106">
        <v>18</v>
      </c>
      <c r="E3" s="105">
        <f t="shared" ref="E3:E17" si="0">C3*D3</f>
        <v>5850</v>
      </c>
      <c r="F3" s="107" t="str">
        <f t="shared" ref="F3:F17" si="1">IF(D3&gt;=$B$40,$B$41,"")</f>
        <v/>
      </c>
      <c r="G3" s="105">
        <f>C3*2</f>
        <v>650</v>
      </c>
      <c r="H3" s="108">
        <f>VLOOKUP(B3,$A$24:$B$34,2,0)</f>
        <v>0.1</v>
      </c>
      <c r="I3" s="109">
        <f>G3*(1-H3)*(1+$B$37)</f>
        <v>684.44999999999993</v>
      </c>
    </row>
    <row r="4" spans="1:9">
      <c r="A4" s="103" t="s">
        <v>124</v>
      </c>
      <c r="B4" s="104" t="s">
        <v>125</v>
      </c>
      <c r="C4" s="105">
        <v>275</v>
      </c>
      <c r="D4" s="106">
        <v>38</v>
      </c>
      <c r="E4" s="105">
        <f t="shared" si="0"/>
        <v>10450</v>
      </c>
      <c r="F4" s="107" t="str">
        <f t="shared" si="1"/>
        <v/>
      </c>
      <c r="G4" s="105">
        <f t="shared" ref="G4:G17" si="2">C4*2</f>
        <v>550</v>
      </c>
      <c r="H4" s="108">
        <f t="shared" ref="H4:H17" si="3">VLOOKUP(B4,$A$24:$B$34,2,0)</f>
        <v>0.15</v>
      </c>
      <c r="I4" s="109">
        <f t="shared" ref="I4:I17" si="4">G4*(1-H4)*(1+$B$37)</f>
        <v>546.97500000000002</v>
      </c>
    </row>
    <row r="5" spans="1:9">
      <c r="A5" s="103" t="s">
        <v>126</v>
      </c>
      <c r="B5" s="104" t="s">
        <v>127</v>
      </c>
      <c r="C5" s="105">
        <v>225</v>
      </c>
      <c r="D5" s="106">
        <v>58</v>
      </c>
      <c r="E5" s="105">
        <f t="shared" si="0"/>
        <v>13050</v>
      </c>
      <c r="F5" s="107" t="str">
        <f t="shared" si="1"/>
        <v>מוצר מועדף</v>
      </c>
      <c r="G5" s="105">
        <f t="shared" si="2"/>
        <v>450</v>
      </c>
      <c r="H5" s="108">
        <f t="shared" si="3"/>
        <v>0.45</v>
      </c>
      <c r="I5" s="109">
        <f t="shared" si="4"/>
        <v>289.57499999999999</v>
      </c>
    </row>
    <row r="6" spans="1:9">
      <c r="A6" s="103" t="s">
        <v>128</v>
      </c>
      <c r="B6" s="104" t="s">
        <v>129</v>
      </c>
      <c r="C6" s="105">
        <v>175</v>
      </c>
      <c r="D6" s="106">
        <v>78</v>
      </c>
      <c r="E6" s="105">
        <f t="shared" si="0"/>
        <v>13650</v>
      </c>
      <c r="F6" s="107" t="str">
        <f t="shared" si="1"/>
        <v>מוצר מועדף</v>
      </c>
      <c r="G6" s="105">
        <f t="shared" si="2"/>
        <v>350</v>
      </c>
      <c r="H6" s="108">
        <f t="shared" si="3"/>
        <v>0.2</v>
      </c>
      <c r="I6" s="109">
        <f t="shared" si="4"/>
        <v>327.59999999999997</v>
      </c>
    </row>
    <row r="7" spans="1:9">
      <c r="A7" s="110" t="s">
        <v>130</v>
      </c>
      <c r="B7" s="111" t="s">
        <v>123</v>
      </c>
      <c r="C7" s="105">
        <v>150</v>
      </c>
      <c r="D7" s="113">
        <v>98</v>
      </c>
      <c r="E7" s="112">
        <f t="shared" si="0"/>
        <v>14700</v>
      </c>
      <c r="F7" s="114" t="str">
        <f t="shared" si="1"/>
        <v>מוצר מועדף</v>
      </c>
      <c r="G7" s="105">
        <f t="shared" si="2"/>
        <v>300</v>
      </c>
      <c r="H7" s="115">
        <f t="shared" si="3"/>
        <v>0.1</v>
      </c>
      <c r="I7" s="116">
        <f t="shared" si="4"/>
        <v>315.89999999999998</v>
      </c>
    </row>
    <row r="8" spans="1:9">
      <c r="A8" s="103" t="s">
        <v>131</v>
      </c>
      <c r="B8" s="104" t="s">
        <v>123</v>
      </c>
      <c r="C8" s="105">
        <v>325</v>
      </c>
      <c r="D8" s="106">
        <v>18</v>
      </c>
      <c r="E8" s="105">
        <f t="shared" si="0"/>
        <v>5850</v>
      </c>
      <c r="F8" s="107" t="str">
        <f t="shared" si="1"/>
        <v/>
      </c>
      <c r="G8" s="105">
        <f t="shared" si="2"/>
        <v>650</v>
      </c>
      <c r="H8" s="108">
        <f t="shared" si="3"/>
        <v>0.1</v>
      </c>
      <c r="I8" s="109">
        <f t="shared" si="4"/>
        <v>684.44999999999993</v>
      </c>
    </row>
    <row r="9" spans="1:9">
      <c r="A9" s="103" t="s">
        <v>132</v>
      </c>
      <c r="B9" s="104" t="s">
        <v>125</v>
      </c>
      <c r="C9" s="105">
        <v>275</v>
      </c>
      <c r="D9" s="106">
        <v>38</v>
      </c>
      <c r="E9" s="105">
        <f t="shared" si="0"/>
        <v>10450</v>
      </c>
      <c r="F9" s="107" t="str">
        <f t="shared" si="1"/>
        <v/>
      </c>
      <c r="G9" s="105">
        <f t="shared" si="2"/>
        <v>550</v>
      </c>
      <c r="H9" s="108">
        <f t="shared" si="3"/>
        <v>0.15</v>
      </c>
      <c r="I9" s="109">
        <f t="shared" si="4"/>
        <v>546.97500000000002</v>
      </c>
    </row>
    <row r="10" spans="1:9">
      <c r="A10" s="103" t="s">
        <v>126</v>
      </c>
      <c r="B10" s="104" t="s">
        <v>127</v>
      </c>
      <c r="C10" s="105">
        <v>225</v>
      </c>
      <c r="D10" s="106">
        <v>58</v>
      </c>
      <c r="E10" s="105">
        <f t="shared" si="0"/>
        <v>13050</v>
      </c>
      <c r="F10" s="107" t="str">
        <f t="shared" si="1"/>
        <v>מוצר מועדף</v>
      </c>
      <c r="G10" s="105">
        <f t="shared" si="2"/>
        <v>450</v>
      </c>
      <c r="H10" s="108">
        <f t="shared" si="3"/>
        <v>0.45</v>
      </c>
      <c r="I10" s="109">
        <f t="shared" si="4"/>
        <v>289.57499999999999</v>
      </c>
    </row>
    <row r="11" spans="1:9">
      <c r="A11" s="103" t="s">
        <v>133</v>
      </c>
      <c r="B11" s="104" t="s">
        <v>129</v>
      </c>
      <c r="C11" s="105">
        <v>175</v>
      </c>
      <c r="D11" s="106">
        <v>78</v>
      </c>
      <c r="E11" s="105">
        <f t="shared" si="0"/>
        <v>13650</v>
      </c>
      <c r="F11" s="107" t="str">
        <f t="shared" si="1"/>
        <v>מוצר מועדף</v>
      </c>
      <c r="G11" s="105">
        <f t="shared" si="2"/>
        <v>350</v>
      </c>
      <c r="H11" s="108">
        <f t="shared" si="3"/>
        <v>0.2</v>
      </c>
      <c r="I11" s="109">
        <f t="shared" si="4"/>
        <v>327.59999999999997</v>
      </c>
    </row>
    <row r="12" spans="1:9">
      <c r="A12" s="110" t="s">
        <v>134</v>
      </c>
      <c r="B12" s="111" t="s">
        <v>123</v>
      </c>
      <c r="C12" s="105">
        <v>150</v>
      </c>
      <c r="D12" s="113">
        <v>98</v>
      </c>
      <c r="E12" s="112">
        <f t="shared" si="0"/>
        <v>14700</v>
      </c>
      <c r="F12" s="114" t="str">
        <f t="shared" si="1"/>
        <v>מוצר מועדף</v>
      </c>
      <c r="G12" s="105">
        <f t="shared" si="2"/>
        <v>300</v>
      </c>
      <c r="H12" s="115">
        <f t="shared" si="3"/>
        <v>0.1</v>
      </c>
      <c r="I12" s="116">
        <f t="shared" si="4"/>
        <v>315.89999999999998</v>
      </c>
    </row>
    <row r="13" spans="1:9">
      <c r="A13" s="110" t="s">
        <v>135</v>
      </c>
      <c r="B13" s="111" t="s">
        <v>123</v>
      </c>
      <c r="C13" s="105">
        <v>325</v>
      </c>
      <c r="D13" s="113">
        <v>18</v>
      </c>
      <c r="E13" s="112">
        <f t="shared" si="0"/>
        <v>5850</v>
      </c>
      <c r="F13" s="114" t="str">
        <f t="shared" si="1"/>
        <v/>
      </c>
      <c r="G13" s="105">
        <f t="shared" si="2"/>
        <v>650</v>
      </c>
      <c r="H13" s="115">
        <f t="shared" si="3"/>
        <v>0.1</v>
      </c>
      <c r="I13" s="116">
        <f t="shared" si="4"/>
        <v>684.44999999999993</v>
      </c>
    </row>
    <row r="14" spans="1:9">
      <c r="A14" s="110" t="s">
        <v>136</v>
      </c>
      <c r="B14" s="111" t="s">
        <v>125</v>
      </c>
      <c r="C14" s="105">
        <v>275</v>
      </c>
      <c r="D14" s="113">
        <v>38</v>
      </c>
      <c r="E14" s="112">
        <f t="shared" si="0"/>
        <v>10450</v>
      </c>
      <c r="F14" s="114" t="str">
        <f t="shared" si="1"/>
        <v/>
      </c>
      <c r="G14" s="105">
        <f t="shared" si="2"/>
        <v>550</v>
      </c>
      <c r="H14" s="115">
        <f t="shared" si="3"/>
        <v>0.15</v>
      </c>
      <c r="I14" s="116">
        <f t="shared" si="4"/>
        <v>546.97500000000002</v>
      </c>
    </row>
    <row r="15" spans="1:9">
      <c r="A15" s="110" t="s">
        <v>137</v>
      </c>
      <c r="B15" s="111" t="s">
        <v>127</v>
      </c>
      <c r="C15" s="105">
        <v>225</v>
      </c>
      <c r="D15" s="113">
        <v>58</v>
      </c>
      <c r="E15" s="112">
        <f t="shared" si="0"/>
        <v>13050</v>
      </c>
      <c r="F15" s="114" t="str">
        <f t="shared" si="1"/>
        <v>מוצר מועדף</v>
      </c>
      <c r="G15" s="105">
        <f t="shared" si="2"/>
        <v>450</v>
      </c>
      <c r="H15" s="115">
        <f t="shared" si="3"/>
        <v>0.45</v>
      </c>
      <c r="I15" s="116">
        <f t="shared" si="4"/>
        <v>289.57499999999999</v>
      </c>
    </row>
    <row r="16" spans="1:9">
      <c r="A16" s="110" t="s">
        <v>138</v>
      </c>
      <c r="B16" s="111" t="s">
        <v>129</v>
      </c>
      <c r="C16" s="105">
        <v>175</v>
      </c>
      <c r="D16" s="113">
        <v>78</v>
      </c>
      <c r="E16" s="112">
        <f t="shared" si="0"/>
        <v>13650</v>
      </c>
      <c r="F16" s="114" t="str">
        <f t="shared" si="1"/>
        <v>מוצר מועדף</v>
      </c>
      <c r="G16" s="105">
        <f t="shared" si="2"/>
        <v>350</v>
      </c>
      <c r="H16" s="115">
        <f t="shared" si="3"/>
        <v>0.2</v>
      </c>
      <c r="I16" s="116">
        <f t="shared" si="4"/>
        <v>327.59999999999997</v>
      </c>
    </row>
    <row r="17" spans="1:9" ht="13.5" thickBot="1">
      <c r="A17" s="117" t="s">
        <v>139</v>
      </c>
      <c r="B17" s="118" t="s">
        <v>123</v>
      </c>
      <c r="C17" s="119">
        <v>150</v>
      </c>
      <c r="D17" s="120">
        <v>98</v>
      </c>
      <c r="E17" s="119">
        <f t="shared" si="0"/>
        <v>14700</v>
      </c>
      <c r="F17" s="121" t="str">
        <f t="shared" si="1"/>
        <v>מוצר מועדף</v>
      </c>
      <c r="G17" s="119">
        <f t="shared" si="2"/>
        <v>300</v>
      </c>
      <c r="H17" s="122">
        <f t="shared" si="3"/>
        <v>0.1</v>
      </c>
      <c r="I17" s="123">
        <f t="shared" si="4"/>
        <v>315.89999999999998</v>
      </c>
    </row>
    <row r="18" spans="1:9" ht="14.25" thickTop="1" thickBot="1">
      <c r="A18" s="124"/>
      <c r="B18" s="124"/>
      <c r="C18" s="124"/>
      <c r="D18" s="124"/>
      <c r="E18" s="124"/>
      <c r="F18" s="124"/>
      <c r="G18" s="124"/>
      <c r="H18" s="124"/>
      <c r="I18" s="124"/>
    </row>
    <row r="19" spans="1:9" ht="13.5" thickTop="1">
      <c r="A19" s="125" t="s">
        <v>140</v>
      </c>
      <c r="B19" s="126"/>
      <c r="C19" s="127">
        <f>AVERAGE(C3:C17)</f>
        <v>230</v>
      </c>
      <c r="D19" s="128">
        <f>AVERAGE(D3:D17)</f>
        <v>58</v>
      </c>
      <c r="E19" s="127">
        <f>AVERAGE(E3:E17)</f>
        <v>11540</v>
      </c>
      <c r="F19" s="129"/>
      <c r="G19" s="127">
        <f>AVERAGE(G3:G17)</f>
        <v>460</v>
      </c>
      <c r="H19" s="130">
        <f>AVERAGE(H3:H17)</f>
        <v>0.2</v>
      </c>
      <c r="I19" s="131">
        <f>AVERAGE(I3:I17)</f>
        <v>432.89999999999992</v>
      </c>
    </row>
    <row r="20" spans="1:9">
      <c r="A20" s="132" t="s">
        <v>24</v>
      </c>
      <c r="B20" s="133"/>
      <c r="C20" s="134">
        <f>MIN(C3:C17)</f>
        <v>150</v>
      </c>
      <c r="D20" s="135">
        <f>MIN(D3:D17)</f>
        <v>18</v>
      </c>
      <c r="E20" s="134">
        <f>MIN(E3:E17)</f>
        <v>5850</v>
      </c>
      <c r="F20" s="136"/>
      <c r="G20" s="134">
        <f>MIN(G3:G17)</f>
        <v>300</v>
      </c>
      <c r="H20" s="137">
        <f>MIN(H3:H17)</f>
        <v>0.1</v>
      </c>
      <c r="I20" s="138">
        <f>MIN(I3:I17)</f>
        <v>289.57499999999999</v>
      </c>
    </row>
    <row r="21" spans="1:9">
      <c r="A21" s="132" t="s">
        <v>23</v>
      </c>
      <c r="B21" s="133"/>
      <c r="C21" s="134">
        <f>MAX(C3:C17)</f>
        <v>325</v>
      </c>
      <c r="D21" s="135">
        <f>MAX(D3:D17)</f>
        <v>98</v>
      </c>
      <c r="E21" s="134">
        <f>MAX(E3:E17)</f>
        <v>14700</v>
      </c>
      <c r="F21" s="136"/>
      <c r="G21" s="134">
        <f>MAX(G3:G17)</f>
        <v>650</v>
      </c>
      <c r="H21" s="137">
        <f>MAX(H3:H17)</f>
        <v>0.45</v>
      </c>
      <c r="I21" s="138">
        <f>MAX(I3:I17)</f>
        <v>684.44999999999993</v>
      </c>
    </row>
    <row r="22" spans="1:9" ht="13.5" thickBot="1">
      <c r="A22" s="139" t="s">
        <v>141</v>
      </c>
      <c r="B22" s="140"/>
      <c r="C22" s="118" t="s">
        <v>123</v>
      </c>
      <c r="D22" s="141">
        <f>SUMIF(B3:B17,C22,D3:D17)</f>
        <v>348</v>
      </c>
      <c r="E22" s="142"/>
      <c r="F22" s="142"/>
      <c r="G22" s="142"/>
      <c r="H22" s="143"/>
      <c r="I22" s="144"/>
    </row>
    <row r="23" spans="1:9" ht="14.25" thickTop="1" thickBot="1">
      <c r="C23" s="124"/>
      <c r="D23" s="124"/>
      <c r="E23" s="124"/>
      <c r="F23" s="124"/>
      <c r="G23" s="124"/>
      <c r="H23" s="124"/>
      <c r="I23" s="124"/>
    </row>
    <row r="24" spans="1:9" ht="13.5" thickTop="1">
      <c r="A24" s="145" t="s">
        <v>142</v>
      </c>
      <c r="B24" s="146" t="s">
        <v>143</v>
      </c>
      <c r="C24" s="147"/>
      <c r="D24" s="147"/>
      <c r="E24" s="147"/>
      <c r="F24" s="147"/>
      <c r="G24" s="147"/>
      <c r="H24" s="147"/>
      <c r="I24" s="147"/>
    </row>
    <row r="25" spans="1:9">
      <c r="A25" s="103" t="s">
        <v>144</v>
      </c>
      <c r="B25" s="148">
        <v>0.05</v>
      </c>
      <c r="C25" s="124"/>
      <c r="D25" s="124"/>
      <c r="E25" s="124"/>
      <c r="F25" s="124"/>
      <c r="G25" s="124"/>
      <c r="H25" s="124"/>
      <c r="I25" s="124"/>
    </row>
    <row r="26" spans="1:9">
      <c r="A26" s="149" t="s">
        <v>123</v>
      </c>
      <c r="B26" s="148">
        <v>0.1</v>
      </c>
      <c r="C26" s="124"/>
      <c r="D26" s="124"/>
      <c r="E26" s="124"/>
      <c r="F26" s="124"/>
      <c r="G26" s="124"/>
      <c r="H26" s="124"/>
      <c r="I26" s="124"/>
    </row>
    <row r="27" spans="1:9">
      <c r="A27" s="149" t="s">
        <v>125</v>
      </c>
      <c r="B27" s="148">
        <v>0.15</v>
      </c>
      <c r="C27" s="124"/>
      <c r="D27" s="124"/>
      <c r="E27" s="124"/>
      <c r="F27" s="124"/>
      <c r="G27" s="124"/>
      <c r="H27" s="124"/>
      <c r="I27" s="124"/>
    </row>
    <row r="28" spans="1:9">
      <c r="A28" s="149" t="s">
        <v>129</v>
      </c>
      <c r="B28" s="148">
        <v>0.2</v>
      </c>
      <c r="C28" s="124"/>
      <c r="D28" s="124"/>
      <c r="E28" s="124"/>
      <c r="F28" s="124"/>
      <c r="G28" s="124"/>
      <c r="H28" s="124"/>
      <c r="I28" s="124"/>
    </row>
    <row r="29" spans="1:9">
      <c r="A29" s="103" t="s">
        <v>145</v>
      </c>
      <c r="B29" s="148">
        <v>0.25</v>
      </c>
      <c r="C29" s="124"/>
      <c r="D29" s="124"/>
      <c r="E29" s="124"/>
      <c r="F29" s="124"/>
      <c r="G29" s="124"/>
      <c r="H29" s="124"/>
      <c r="I29" s="124"/>
    </row>
    <row r="30" spans="1:9">
      <c r="A30" s="103" t="s">
        <v>146</v>
      </c>
      <c r="B30" s="148">
        <v>0.3</v>
      </c>
      <c r="C30" s="124"/>
      <c r="D30" s="124"/>
      <c r="E30" s="124"/>
      <c r="F30" s="124"/>
      <c r="G30" s="124"/>
      <c r="H30" s="124"/>
      <c r="I30" s="124"/>
    </row>
    <row r="31" spans="1:9">
      <c r="A31" s="149" t="s">
        <v>147</v>
      </c>
      <c r="B31" s="148">
        <v>0.35</v>
      </c>
      <c r="C31" s="124"/>
      <c r="D31" s="124"/>
      <c r="E31" s="124"/>
      <c r="F31" s="124"/>
      <c r="G31" s="124"/>
      <c r="H31" s="124"/>
      <c r="I31" s="124"/>
    </row>
    <row r="32" spans="1:9">
      <c r="A32" s="149" t="s">
        <v>148</v>
      </c>
      <c r="B32" s="148">
        <v>0.4</v>
      </c>
      <c r="C32" s="124"/>
      <c r="D32" s="124"/>
      <c r="E32" s="124"/>
      <c r="F32" s="124"/>
      <c r="G32" s="124"/>
      <c r="H32" s="124"/>
      <c r="I32" s="124"/>
    </row>
    <row r="33" spans="1:9">
      <c r="A33" s="103" t="s">
        <v>127</v>
      </c>
      <c r="B33" s="148">
        <v>0.45</v>
      </c>
      <c r="C33" s="124"/>
      <c r="D33" s="124"/>
      <c r="E33" s="124"/>
      <c r="F33" s="124"/>
      <c r="G33" s="124"/>
      <c r="H33" s="124"/>
      <c r="I33" s="124"/>
    </row>
    <row r="34" spans="1:9" ht="13.5" thickBot="1">
      <c r="A34" s="117" t="s">
        <v>149</v>
      </c>
      <c r="B34" s="150">
        <v>0.5</v>
      </c>
      <c r="C34" s="124"/>
      <c r="D34" s="124"/>
      <c r="E34" s="124"/>
      <c r="F34" s="124"/>
      <c r="G34" s="124"/>
      <c r="H34" s="124"/>
      <c r="I34" s="124"/>
    </row>
    <row r="35" spans="1:9" ht="14.25" thickTop="1" thickBot="1">
      <c r="A35" s="124"/>
      <c r="B35" s="124"/>
      <c r="C35" s="124"/>
      <c r="D35" s="124"/>
      <c r="E35" s="124"/>
      <c r="F35" s="124"/>
      <c r="G35" s="124"/>
      <c r="H35" s="124"/>
      <c r="I35" s="124"/>
    </row>
    <row r="36" spans="1:9" ht="13.5" thickTop="1">
      <c r="A36" s="261" t="s">
        <v>150</v>
      </c>
      <c r="B36" s="262"/>
      <c r="C36" s="151"/>
      <c r="D36" s="151"/>
      <c r="E36" s="151"/>
      <c r="F36" s="151"/>
      <c r="G36" s="151"/>
      <c r="H36" s="151"/>
      <c r="I36" s="151"/>
    </row>
    <row r="37" spans="1:9">
      <c r="A37" s="152" t="s">
        <v>151</v>
      </c>
      <c r="B37" s="153">
        <v>0.17</v>
      </c>
    </row>
    <row r="38" spans="1:9">
      <c r="A38" s="152"/>
      <c r="B38" s="154"/>
    </row>
    <row r="39" spans="1:9">
      <c r="A39" s="263" t="s">
        <v>152</v>
      </c>
      <c r="B39" s="264"/>
    </row>
    <row r="40" spans="1:9">
      <c r="A40" s="152" t="s">
        <v>153</v>
      </c>
      <c r="B40" s="155">
        <v>40</v>
      </c>
    </row>
    <row r="41" spans="1:9" ht="13.5" thickBot="1">
      <c r="A41" s="156" t="s">
        <v>154</v>
      </c>
      <c r="B41" s="157" t="s">
        <v>155</v>
      </c>
    </row>
    <row r="42" spans="1:9" ht="13.5" thickTop="1"/>
  </sheetData>
  <mergeCells count="3">
    <mergeCell ref="A1:I1"/>
    <mergeCell ref="A36:B36"/>
    <mergeCell ref="A39:B39"/>
  </mergeCells>
  <conditionalFormatting sqref="F3:F17">
    <cfRule type="cellIs" dxfId="29" priority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rightToLeft="1" workbookViewId="0">
      <selection sqref="A1:B1"/>
    </sheetView>
  </sheetViews>
  <sheetFormatPr defaultRowHeight="12.75"/>
  <cols>
    <col min="1" max="1" width="10.140625" bestFit="1" customWidth="1"/>
    <col min="2" max="2" width="6.140625" bestFit="1" customWidth="1"/>
    <col min="3" max="3" width="5.5703125" customWidth="1"/>
    <col min="4" max="4" width="5" bestFit="1" customWidth="1"/>
    <col min="5" max="5" width="9.140625" style="69" bestFit="1" customWidth="1"/>
    <col min="6" max="6" width="7.5703125" bestFit="1" customWidth="1"/>
    <col min="7" max="8" width="6.5703125" bestFit="1" customWidth="1"/>
    <col min="9" max="9" width="10.140625" bestFit="1" customWidth="1"/>
    <col min="10" max="10" width="10.85546875" bestFit="1" customWidth="1"/>
    <col min="11" max="11" width="10.42578125" style="69" customWidth="1"/>
    <col min="12" max="12" width="9.85546875" bestFit="1" customWidth="1"/>
    <col min="13" max="13" width="10.140625" bestFit="1" customWidth="1"/>
    <col min="14" max="14" width="15.140625" style="70" bestFit="1" customWidth="1"/>
    <col min="15" max="15" width="12.5703125" style="70" bestFit="1" customWidth="1"/>
    <col min="16" max="16" width="7" style="70" bestFit="1" customWidth="1"/>
  </cols>
  <sheetData>
    <row r="1" spans="1:22">
      <c r="A1" s="266" t="s">
        <v>84</v>
      </c>
      <c r="B1" s="266"/>
      <c r="C1">
        <v>15</v>
      </c>
    </row>
    <row r="2" spans="1:22" s="72" customFormat="1">
      <c r="A2" s="265" t="s">
        <v>85</v>
      </c>
      <c r="B2" s="265"/>
      <c r="C2" s="265"/>
      <c r="D2" s="265"/>
      <c r="E2" s="265"/>
      <c r="F2" s="265"/>
      <c r="G2" s="265"/>
      <c r="H2" s="265"/>
      <c r="I2" s="265"/>
      <c r="J2" s="267" t="s">
        <v>86</v>
      </c>
      <c r="K2" s="267"/>
      <c r="L2" s="267"/>
      <c r="M2" s="267"/>
      <c r="N2" s="268" t="s">
        <v>87</v>
      </c>
      <c r="O2" s="268"/>
      <c r="P2" s="71"/>
      <c r="Q2" s="267" t="s">
        <v>88</v>
      </c>
      <c r="R2" s="267"/>
      <c r="S2" s="267"/>
      <c r="T2" s="265" t="s">
        <v>89</v>
      </c>
      <c r="U2" s="265"/>
      <c r="V2" s="265"/>
    </row>
    <row r="3" spans="1:22" s="75" customFormat="1" ht="38.25">
      <c r="A3" s="73" t="s">
        <v>90</v>
      </c>
      <c r="B3" s="73" t="s">
        <v>91</v>
      </c>
      <c r="C3" s="73" t="s">
        <v>92</v>
      </c>
      <c r="D3" s="73" t="s">
        <v>93</v>
      </c>
      <c r="E3" s="73" t="s">
        <v>94</v>
      </c>
      <c r="F3" s="73" t="s">
        <v>95</v>
      </c>
      <c r="G3" s="73" t="s">
        <v>96</v>
      </c>
      <c r="H3" s="73" t="s">
        <v>97</v>
      </c>
      <c r="I3" s="73" t="s">
        <v>98</v>
      </c>
      <c r="J3" s="74" t="s">
        <v>99</v>
      </c>
      <c r="K3" s="74" t="s">
        <v>100</v>
      </c>
      <c r="L3" s="74" t="s">
        <v>95</v>
      </c>
      <c r="M3" s="74" t="s">
        <v>101</v>
      </c>
      <c r="N3" s="73" t="s">
        <v>102</v>
      </c>
      <c r="O3" s="73" t="s">
        <v>103</v>
      </c>
      <c r="P3" s="73" t="s">
        <v>104</v>
      </c>
      <c r="Q3" s="74" t="s">
        <v>105</v>
      </c>
      <c r="R3" s="74" t="s">
        <v>106</v>
      </c>
      <c r="S3" s="74" t="s">
        <v>107</v>
      </c>
      <c r="T3" s="73" t="s">
        <v>105</v>
      </c>
      <c r="U3" s="73" t="s">
        <v>106</v>
      </c>
      <c r="V3" s="73" t="s">
        <v>107</v>
      </c>
    </row>
    <row r="4" spans="1:22">
      <c r="A4" s="76">
        <v>39814</v>
      </c>
      <c r="B4" s="77">
        <f>DAY(A4)</f>
        <v>1</v>
      </c>
      <c r="C4" s="77">
        <f>MONTH(A4)</f>
        <v>1</v>
      </c>
      <c r="D4" s="77">
        <f>YEAR(A4)</f>
        <v>2009</v>
      </c>
      <c r="E4" s="78"/>
      <c r="F4" s="79">
        <f>(IF(MONTH(I4)=1,DATE(YEAR(I4)-1,12,1),DATE(YEAR(I4),MONTH(I4)-1,1)))</f>
        <v>39753</v>
      </c>
      <c r="G4" s="77">
        <f>IF(DAY(A4)&lt;$C$1,IF(MONTH(A4)-1=0,12,MONTH(A4)-1),MONTH(A4))</f>
        <v>12</v>
      </c>
      <c r="H4" s="77">
        <f>IF(DAY(A4)&lt;$C$1,IF(MONTH(A4)-1=0,YEAR(A4)-1,YEAR(A4)),YEAR(A4))</f>
        <v>2008</v>
      </c>
      <c r="I4" s="76">
        <f>DATE(H4,G4,$C$1)</f>
        <v>39797</v>
      </c>
      <c r="J4" s="80">
        <v>38754</v>
      </c>
      <c r="K4" s="81"/>
      <c r="L4" s="82">
        <f>(IF(MONTH(M4)=1,DATE(YEAR(M4)-1,12,1),DATE(YEAR(M4),MONTH(M4)-1,1)))</f>
        <v>38687</v>
      </c>
      <c r="M4" s="80">
        <f t="shared" ref="M4:M16" si="0">DATE(IF(DAY(J4)&lt;$C$1,IF(MONTH(J4)-1=0,YEAR(J4)-1,YEAR(J4)),YEAR(J4)),IF(DAY(J4)&lt;$C$1,IF(MONTH(J4)-1=0,12,MONTH(J4)-1),MONTH(J4)),$C$1)</f>
        <v>38732</v>
      </c>
      <c r="N4" s="83">
        <v>1000</v>
      </c>
      <c r="O4" s="83" t="e">
        <f>N4*E4/K4</f>
        <v>#DIV/0!</v>
      </c>
      <c r="P4" s="83" t="e">
        <f>O4-N4</f>
        <v>#DIV/0!</v>
      </c>
      <c r="Q4" s="84">
        <f t="shared" ref="Q4:Q16" si="1">DATEDIF(J4,A4,"y")</f>
        <v>2</v>
      </c>
      <c r="R4" s="84">
        <f t="shared" ref="R4:R16" si="2">DATEDIF(J4,A4,"m")</f>
        <v>34</v>
      </c>
      <c r="S4" s="84">
        <f t="shared" ref="S4:S16" si="3">DATEDIF(J4,A4,"d")</f>
        <v>1060</v>
      </c>
      <c r="T4" s="85">
        <f>(A4-J4)/365</f>
        <v>2.904109589041096</v>
      </c>
      <c r="U4" s="85">
        <f>(A4-J4)/365*12</f>
        <v>34.849315068493155</v>
      </c>
      <c r="V4" s="86">
        <f>(A4-J4)</f>
        <v>1060</v>
      </c>
    </row>
    <row r="5" spans="1:22">
      <c r="A5" s="76">
        <v>39848</v>
      </c>
      <c r="B5" s="77">
        <f t="shared" ref="B5:B16" si="4">DAY(A5)</f>
        <v>4</v>
      </c>
      <c r="C5" s="77">
        <f t="shared" ref="C5:C16" si="5">MONTH(A5)</f>
        <v>2</v>
      </c>
      <c r="D5" s="77">
        <f t="shared" ref="D5:D16" si="6">YEAR(A5)</f>
        <v>2009</v>
      </c>
      <c r="E5" s="78"/>
      <c r="F5" s="79">
        <f>(IF(MONTH(I5)=1,DATE(YEAR(I5)-1,12,1),DATE(YEAR(I5),MONTH(I5)-1,1)))</f>
        <v>39783</v>
      </c>
      <c r="G5" s="77">
        <f t="shared" ref="G5:G16" si="7">IF(DAY(A5)&lt;$C$1,IF(MONTH(A5)-1=0,12,MONTH(A5)-1),MONTH(A5))</f>
        <v>1</v>
      </c>
      <c r="H5" s="77">
        <f t="shared" ref="H5:H16" si="8">IF(DAY(A5)&lt;$C$1,IF(MONTH(A5)-1=0,YEAR(A5)-1,YEAR(A5)),YEAR(A5))</f>
        <v>2009</v>
      </c>
      <c r="I5" s="76">
        <f t="shared" ref="I5:I16" si="9">DATE(H5,G5,$C$1)</f>
        <v>39828</v>
      </c>
      <c r="J5" s="80">
        <v>38720</v>
      </c>
      <c r="K5" s="81"/>
      <c r="L5" s="82">
        <f t="shared" ref="L5:L16" si="10">(IF(MONTH(M5)=1,DATE(YEAR(M5)-1,12,1),DATE(YEAR(M5),MONTH(M5)-1,1)))</f>
        <v>38657</v>
      </c>
      <c r="M5" s="80">
        <f t="shared" si="0"/>
        <v>38701</v>
      </c>
      <c r="N5" s="83">
        <v>1100</v>
      </c>
      <c r="O5" s="83" t="e">
        <f t="shared" ref="O5:O16" si="11">N5*E5/K5</f>
        <v>#DIV/0!</v>
      </c>
      <c r="P5" s="83" t="e">
        <f t="shared" ref="P5:P16" si="12">O5-N5</f>
        <v>#DIV/0!</v>
      </c>
      <c r="Q5" s="84">
        <f t="shared" si="1"/>
        <v>3</v>
      </c>
      <c r="R5" s="84">
        <f t="shared" si="2"/>
        <v>37</v>
      </c>
      <c r="S5" s="84">
        <f t="shared" si="3"/>
        <v>1128</v>
      </c>
      <c r="T5" s="85">
        <f t="shared" ref="T5:T16" si="13">(A5-J5)/365</f>
        <v>3.0904109589041098</v>
      </c>
      <c r="U5" s="85">
        <f t="shared" ref="U5:U16" si="14">(A5-J5)/365*12</f>
        <v>37.084931506849315</v>
      </c>
      <c r="V5" s="86">
        <f t="shared" ref="V5:V16" si="15">(A5-J5)</f>
        <v>1128</v>
      </c>
    </row>
    <row r="6" spans="1:22">
      <c r="A6" s="76">
        <v>39882</v>
      </c>
      <c r="B6" s="77">
        <f t="shared" si="4"/>
        <v>10</v>
      </c>
      <c r="C6" s="77">
        <f t="shared" si="5"/>
        <v>3</v>
      </c>
      <c r="D6" s="77">
        <f t="shared" si="6"/>
        <v>2009</v>
      </c>
      <c r="E6" s="78"/>
      <c r="F6" s="79">
        <f t="shared" ref="F6:F16" si="16">(IF(MONTH(I6)=1,DATE(YEAR(I6)-1,12,1),DATE(YEAR(I6),MONTH(I6)-1,1)))</f>
        <v>39814</v>
      </c>
      <c r="G6" s="77">
        <f t="shared" si="7"/>
        <v>2</v>
      </c>
      <c r="H6" s="77">
        <f t="shared" si="8"/>
        <v>2009</v>
      </c>
      <c r="I6" s="76">
        <f t="shared" si="9"/>
        <v>39859</v>
      </c>
      <c r="J6" s="80">
        <v>38686</v>
      </c>
      <c r="K6" s="81"/>
      <c r="L6" s="82">
        <f t="shared" si="10"/>
        <v>38626</v>
      </c>
      <c r="M6" s="80">
        <f t="shared" si="0"/>
        <v>38671</v>
      </c>
      <c r="N6" s="83">
        <v>1200</v>
      </c>
      <c r="O6" s="83" t="e">
        <f t="shared" si="11"/>
        <v>#DIV/0!</v>
      </c>
      <c r="P6" s="83" t="e">
        <f t="shared" si="12"/>
        <v>#DIV/0!</v>
      </c>
      <c r="Q6" s="84">
        <f t="shared" si="1"/>
        <v>3</v>
      </c>
      <c r="R6" s="84">
        <f t="shared" si="2"/>
        <v>39</v>
      </c>
      <c r="S6" s="84">
        <f t="shared" si="3"/>
        <v>1196</v>
      </c>
      <c r="T6" s="85">
        <f t="shared" si="13"/>
        <v>3.2767123287671232</v>
      </c>
      <c r="U6" s="85">
        <f t="shared" si="14"/>
        <v>39.320547945205476</v>
      </c>
      <c r="V6" s="86">
        <f t="shared" si="15"/>
        <v>1196</v>
      </c>
    </row>
    <row r="7" spans="1:22">
      <c r="A7" s="76">
        <v>39916</v>
      </c>
      <c r="B7" s="77">
        <f t="shared" si="4"/>
        <v>13</v>
      </c>
      <c r="C7" s="77">
        <f t="shared" si="5"/>
        <v>4</v>
      </c>
      <c r="D7" s="77">
        <f t="shared" si="6"/>
        <v>2009</v>
      </c>
      <c r="E7" s="78"/>
      <c r="F7" s="79">
        <f t="shared" si="16"/>
        <v>39845</v>
      </c>
      <c r="G7" s="77">
        <f t="shared" si="7"/>
        <v>3</v>
      </c>
      <c r="H7" s="77">
        <f t="shared" si="8"/>
        <v>2009</v>
      </c>
      <c r="I7" s="76">
        <f t="shared" si="9"/>
        <v>39887</v>
      </c>
      <c r="J7" s="80">
        <v>38652</v>
      </c>
      <c r="K7" s="81"/>
      <c r="L7" s="82">
        <f t="shared" si="10"/>
        <v>38596</v>
      </c>
      <c r="M7" s="80">
        <f t="shared" si="0"/>
        <v>38640</v>
      </c>
      <c r="N7" s="83">
        <v>1300</v>
      </c>
      <c r="O7" s="83" t="e">
        <f t="shared" si="11"/>
        <v>#DIV/0!</v>
      </c>
      <c r="P7" s="83" t="e">
        <f t="shared" si="12"/>
        <v>#DIV/0!</v>
      </c>
      <c r="Q7" s="84">
        <f t="shared" si="1"/>
        <v>3</v>
      </c>
      <c r="R7" s="84">
        <f t="shared" si="2"/>
        <v>41</v>
      </c>
      <c r="S7" s="84">
        <f t="shared" si="3"/>
        <v>1264</v>
      </c>
      <c r="T7" s="85">
        <f t="shared" si="13"/>
        <v>3.463013698630137</v>
      </c>
      <c r="U7" s="85">
        <f t="shared" si="14"/>
        <v>41.556164383561644</v>
      </c>
      <c r="V7" s="86">
        <f t="shared" si="15"/>
        <v>1264</v>
      </c>
    </row>
    <row r="8" spans="1:22">
      <c r="A8" s="76">
        <v>39950</v>
      </c>
      <c r="B8" s="77">
        <f t="shared" si="4"/>
        <v>17</v>
      </c>
      <c r="C8" s="77">
        <f t="shared" si="5"/>
        <v>5</v>
      </c>
      <c r="D8" s="77">
        <f t="shared" si="6"/>
        <v>2009</v>
      </c>
      <c r="E8" s="78"/>
      <c r="F8" s="79">
        <f t="shared" si="16"/>
        <v>39904</v>
      </c>
      <c r="G8" s="77">
        <f t="shared" si="7"/>
        <v>5</v>
      </c>
      <c r="H8" s="77">
        <f t="shared" si="8"/>
        <v>2009</v>
      </c>
      <c r="I8" s="76">
        <f t="shared" si="9"/>
        <v>39948</v>
      </c>
      <c r="J8" s="80">
        <v>38618</v>
      </c>
      <c r="K8" s="81"/>
      <c r="L8" s="82">
        <f t="shared" si="10"/>
        <v>38565</v>
      </c>
      <c r="M8" s="80">
        <f t="shared" si="0"/>
        <v>38610</v>
      </c>
      <c r="N8" s="83">
        <v>1400</v>
      </c>
      <c r="O8" s="83" t="e">
        <f t="shared" si="11"/>
        <v>#DIV/0!</v>
      </c>
      <c r="P8" s="83" t="e">
        <f t="shared" si="12"/>
        <v>#DIV/0!</v>
      </c>
      <c r="Q8" s="84">
        <f t="shared" si="1"/>
        <v>3</v>
      </c>
      <c r="R8" s="84">
        <f t="shared" si="2"/>
        <v>43</v>
      </c>
      <c r="S8" s="84">
        <f t="shared" si="3"/>
        <v>1332</v>
      </c>
      <c r="T8" s="85">
        <f t="shared" si="13"/>
        <v>3.6493150684931508</v>
      </c>
      <c r="U8" s="85">
        <f t="shared" si="14"/>
        <v>43.791780821917811</v>
      </c>
      <c r="V8" s="86">
        <f t="shared" si="15"/>
        <v>1332</v>
      </c>
    </row>
    <row r="9" spans="1:22">
      <c r="A9" s="76">
        <v>39984</v>
      </c>
      <c r="B9" s="77">
        <f t="shared" si="4"/>
        <v>20</v>
      </c>
      <c r="C9" s="77">
        <f t="shared" si="5"/>
        <v>6</v>
      </c>
      <c r="D9" s="77">
        <f t="shared" si="6"/>
        <v>2009</v>
      </c>
      <c r="E9" s="78"/>
      <c r="F9" s="79">
        <f t="shared" si="16"/>
        <v>39934</v>
      </c>
      <c r="G9" s="77">
        <f t="shared" si="7"/>
        <v>6</v>
      </c>
      <c r="H9" s="77">
        <f t="shared" si="8"/>
        <v>2009</v>
      </c>
      <c r="I9" s="76">
        <f t="shared" si="9"/>
        <v>39979</v>
      </c>
      <c r="J9" s="80">
        <v>38584</v>
      </c>
      <c r="K9" s="81"/>
      <c r="L9" s="82">
        <f t="shared" si="10"/>
        <v>38534</v>
      </c>
      <c r="M9" s="80">
        <f t="shared" si="0"/>
        <v>38579</v>
      </c>
      <c r="N9" s="83">
        <v>1500</v>
      </c>
      <c r="O9" s="83" t="e">
        <f t="shared" si="11"/>
        <v>#DIV/0!</v>
      </c>
      <c r="P9" s="83" t="e">
        <f t="shared" si="12"/>
        <v>#DIV/0!</v>
      </c>
      <c r="Q9" s="84">
        <f t="shared" si="1"/>
        <v>3</v>
      </c>
      <c r="R9" s="84">
        <f t="shared" si="2"/>
        <v>46</v>
      </c>
      <c r="S9" s="84">
        <f t="shared" si="3"/>
        <v>1400</v>
      </c>
      <c r="T9" s="85">
        <f t="shared" si="13"/>
        <v>3.8356164383561642</v>
      </c>
      <c r="U9" s="85">
        <f t="shared" si="14"/>
        <v>46.027397260273972</v>
      </c>
      <c r="V9" s="86">
        <f t="shared" si="15"/>
        <v>1400</v>
      </c>
    </row>
    <row r="10" spans="1:22">
      <c r="A10" s="76">
        <v>40018</v>
      </c>
      <c r="B10" s="77">
        <f t="shared" si="4"/>
        <v>24</v>
      </c>
      <c r="C10" s="77">
        <f t="shared" si="5"/>
        <v>7</v>
      </c>
      <c r="D10" s="77">
        <f t="shared" si="6"/>
        <v>2009</v>
      </c>
      <c r="E10" s="78"/>
      <c r="F10" s="79">
        <f t="shared" si="16"/>
        <v>39965</v>
      </c>
      <c r="G10" s="77">
        <f t="shared" si="7"/>
        <v>7</v>
      </c>
      <c r="H10" s="77">
        <f t="shared" si="8"/>
        <v>2009</v>
      </c>
      <c r="I10" s="76">
        <f t="shared" si="9"/>
        <v>40009</v>
      </c>
      <c r="J10" s="80">
        <v>38550</v>
      </c>
      <c r="K10" s="81"/>
      <c r="L10" s="82">
        <f t="shared" si="10"/>
        <v>38504</v>
      </c>
      <c r="M10" s="80">
        <f t="shared" si="0"/>
        <v>38548</v>
      </c>
      <c r="N10" s="83">
        <v>1600</v>
      </c>
      <c r="O10" s="83" t="e">
        <f t="shared" si="11"/>
        <v>#DIV/0!</v>
      </c>
      <c r="P10" s="83" t="e">
        <f t="shared" si="12"/>
        <v>#DIV/0!</v>
      </c>
      <c r="Q10" s="84">
        <f t="shared" si="1"/>
        <v>4</v>
      </c>
      <c r="R10" s="84">
        <f t="shared" si="2"/>
        <v>48</v>
      </c>
      <c r="S10" s="84">
        <f t="shared" si="3"/>
        <v>1468</v>
      </c>
      <c r="T10" s="85">
        <f t="shared" si="13"/>
        <v>4.021917808219178</v>
      </c>
      <c r="U10" s="85">
        <f t="shared" si="14"/>
        <v>48.263013698630132</v>
      </c>
      <c r="V10" s="86">
        <f t="shared" si="15"/>
        <v>1468</v>
      </c>
    </row>
    <row r="11" spans="1:22">
      <c r="A11" s="76">
        <v>40052</v>
      </c>
      <c r="B11" s="77">
        <f t="shared" si="4"/>
        <v>27</v>
      </c>
      <c r="C11" s="77">
        <f t="shared" si="5"/>
        <v>8</v>
      </c>
      <c r="D11" s="77">
        <f t="shared" si="6"/>
        <v>2009</v>
      </c>
      <c r="E11" s="78"/>
      <c r="F11" s="79">
        <f t="shared" si="16"/>
        <v>39995</v>
      </c>
      <c r="G11" s="77">
        <f t="shared" si="7"/>
        <v>8</v>
      </c>
      <c r="H11" s="77">
        <f t="shared" si="8"/>
        <v>2009</v>
      </c>
      <c r="I11" s="76">
        <f t="shared" si="9"/>
        <v>40040</v>
      </c>
      <c r="J11" s="80">
        <v>38516</v>
      </c>
      <c r="K11" s="81"/>
      <c r="L11" s="82">
        <f t="shared" si="10"/>
        <v>38443</v>
      </c>
      <c r="M11" s="80">
        <f t="shared" si="0"/>
        <v>38487</v>
      </c>
      <c r="N11" s="83">
        <v>1700</v>
      </c>
      <c r="O11" s="83" t="e">
        <f t="shared" si="11"/>
        <v>#DIV/0!</v>
      </c>
      <c r="P11" s="83" t="e">
        <f t="shared" si="12"/>
        <v>#DIV/0!</v>
      </c>
      <c r="Q11" s="84">
        <f t="shared" si="1"/>
        <v>4</v>
      </c>
      <c r="R11" s="84">
        <f t="shared" si="2"/>
        <v>50</v>
      </c>
      <c r="S11" s="84">
        <f t="shared" si="3"/>
        <v>1536</v>
      </c>
      <c r="T11" s="85">
        <f t="shared" si="13"/>
        <v>4.2082191780821914</v>
      </c>
      <c r="U11" s="85">
        <f t="shared" si="14"/>
        <v>50.498630136986293</v>
      </c>
      <c r="V11" s="86">
        <f t="shared" si="15"/>
        <v>1536</v>
      </c>
    </row>
    <row r="12" spans="1:22">
      <c r="A12" s="76">
        <v>40086</v>
      </c>
      <c r="B12" s="77">
        <f t="shared" si="4"/>
        <v>30</v>
      </c>
      <c r="C12" s="77">
        <f t="shared" si="5"/>
        <v>9</v>
      </c>
      <c r="D12" s="77">
        <f t="shared" si="6"/>
        <v>2009</v>
      </c>
      <c r="E12" s="78"/>
      <c r="F12" s="79">
        <f t="shared" si="16"/>
        <v>40026</v>
      </c>
      <c r="G12" s="77">
        <f t="shared" si="7"/>
        <v>9</v>
      </c>
      <c r="H12" s="77">
        <f t="shared" si="8"/>
        <v>2009</v>
      </c>
      <c r="I12" s="76">
        <f t="shared" si="9"/>
        <v>40071</v>
      </c>
      <c r="J12" s="80">
        <v>38482</v>
      </c>
      <c r="K12" s="81"/>
      <c r="L12" s="82">
        <f t="shared" si="10"/>
        <v>38412</v>
      </c>
      <c r="M12" s="80">
        <f t="shared" si="0"/>
        <v>38457</v>
      </c>
      <c r="N12" s="83">
        <v>1800</v>
      </c>
      <c r="O12" s="83" t="e">
        <f t="shared" si="11"/>
        <v>#DIV/0!</v>
      </c>
      <c r="P12" s="83" t="e">
        <f t="shared" si="12"/>
        <v>#DIV/0!</v>
      </c>
      <c r="Q12" s="84">
        <f t="shared" si="1"/>
        <v>4</v>
      </c>
      <c r="R12" s="84">
        <f t="shared" si="2"/>
        <v>52</v>
      </c>
      <c r="S12" s="84">
        <f t="shared" si="3"/>
        <v>1604</v>
      </c>
      <c r="T12" s="85">
        <f t="shared" si="13"/>
        <v>4.3945205479452056</v>
      </c>
      <c r="U12" s="85">
        <f t="shared" si="14"/>
        <v>52.734246575342468</v>
      </c>
      <c r="V12" s="86">
        <f t="shared" si="15"/>
        <v>1604</v>
      </c>
    </row>
    <row r="13" spans="1:22">
      <c r="A13" s="76">
        <v>40120</v>
      </c>
      <c r="B13" s="77">
        <f t="shared" si="4"/>
        <v>3</v>
      </c>
      <c r="C13" s="77">
        <f t="shared" si="5"/>
        <v>11</v>
      </c>
      <c r="D13" s="77">
        <f t="shared" si="6"/>
        <v>2009</v>
      </c>
      <c r="E13" s="78"/>
      <c r="F13" s="79">
        <f t="shared" si="16"/>
        <v>40057</v>
      </c>
      <c r="G13" s="77">
        <f t="shared" si="7"/>
        <v>10</v>
      </c>
      <c r="H13" s="77">
        <f t="shared" si="8"/>
        <v>2009</v>
      </c>
      <c r="I13" s="76">
        <f t="shared" si="9"/>
        <v>40101</v>
      </c>
      <c r="J13" s="80">
        <v>38448</v>
      </c>
      <c r="K13" s="81"/>
      <c r="L13" s="82">
        <f t="shared" si="10"/>
        <v>38384</v>
      </c>
      <c r="M13" s="80">
        <f t="shared" si="0"/>
        <v>38426</v>
      </c>
      <c r="N13" s="83">
        <v>1900</v>
      </c>
      <c r="O13" s="83" t="e">
        <f t="shared" si="11"/>
        <v>#DIV/0!</v>
      </c>
      <c r="P13" s="83" t="e">
        <f t="shared" si="12"/>
        <v>#DIV/0!</v>
      </c>
      <c r="Q13" s="84">
        <f t="shared" si="1"/>
        <v>4</v>
      </c>
      <c r="R13" s="84">
        <f t="shared" si="2"/>
        <v>54</v>
      </c>
      <c r="S13" s="84">
        <f t="shared" si="3"/>
        <v>1672</v>
      </c>
      <c r="T13" s="85">
        <f t="shared" si="13"/>
        <v>4.580821917808219</v>
      </c>
      <c r="U13" s="85">
        <f t="shared" si="14"/>
        <v>54.969863013698628</v>
      </c>
      <c r="V13" s="86">
        <f t="shared" si="15"/>
        <v>1672</v>
      </c>
    </row>
    <row r="14" spans="1:22">
      <c r="A14" s="76">
        <v>40154</v>
      </c>
      <c r="B14" s="77">
        <f t="shared" si="4"/>
        <v>7</v>
      </c>
      <c r="C14" s="77">
        <f t="shared" si="5"/>
        <v>12</v>
      </c>
      <c r="D14" s="77">
        <f t="shared" si="6"/>
        <v>2009</v>
      </c>
      <c r="E14" s="78"/>
      <c r="F14" s="79">
        <f t="shared" si="16"/>
        <v>40087</v>
      </c>
      <c r="G14" s="77">
        <f t="shared" si="7"/>
        <v>11</v>
      </c>
      <c r="H14" s="77">
        <f t="shared" si="8"/>
        <v>2009</v>
      </c>
      <c r="I14" s="76">
        <f t="shared" si="9"/>
        <v>40132</v>
      </c>
      <c r="J14" s="80">
        <v>38414</v>
      </c>
      <c r="K14" s="81"/>
      <c r="L14" s="82">
        <f t="shared" si="10"/>
        <v>38353</v>
      </c>
      <c r="M14" s="80">
        <f t="shared" si="0"/>
        <v>38398</v>
      </c>
      <c r="N14" s="83">
        <v>2000</v>
      </c>
      <c r="O14" s="83" t="e">
        <f t="shared" si="11"/>
        <v>#DIV/0!</v>
      </c>
      <c r="P14" s="83" t="e">
        <f t="shared" si="12"/>
        <v>#DIV/0!</v>
      </c>
      <c r="Q14" s="84">
        <f t="shared" si="1"/>
        <v>4</v>
      </c>
      <c r="R14" s="84">
        <f t="shared" si="2"/>
        <v>57</v>
      </c>
      <c r="S14" s="84">
        <f t="shared" si="3"/>
        <v>1740</v>
      </c>
      <c r="T14" s="85">
        <f t="shared" si="13"/>
        <v>4.7671232876712333</v>
      </c>
      <c r="U14" s="85">
        <f t="shared" si="14"/>
        <v>57.205479452054803</v>
      </c>
      <c r="V14" s="86">
        <f t="shared" si="15"/>
        <v>1740</v>
      </c>
    </row>
    <row r="15" spans="1:22">
      <c r="A15" s="76">
        <v>40188</v>
      </c>
      <c r="B15" s="77">
        <f t="shared" si="4"/>
        <v>10</v>
      </c>
      <c r="C15" s="77">
        <f t="shared" si="5"/>
        <v>1</v>
      </c>
      <c r="D15" s="77">
        <f t="shared" si="6"/>
        <v>2010</v>
      </c>
      <c r="E15" s="78"/>
      <c r="F15" s="79">
        <f t="shared" si="16"/>
        <v>40118</v>
      </c>
      <c r="G15" s="77">
        <f t="shared" si="7"/>
        <v>12</v>
      </c>
      <c r="H15" s="77">
        <f t="shared" si="8"/>
        <v>2009</v>
      </c>
      <c r="I15" s="76">
        <f t="shared" si="9"/>
        <v>40162</v>
      </c>
      <c r="J15" s="80">
        <v>38380</v>
      </c>
      <c r="K15" s="81"/>
      <c r="L15" s="82">
        <f t="shared" si="10"/>
        <v>38322</v>
      </c>
      <c r="M15" s="80">
        <f t="shared" si="0"/>
        <v>38367</v>
      </c>
      <c r="N15" s="83">
        <v>2100</v>
      </c>
      <c r="O15" s="83" t="e">
        <f t="shared" si="11"/>
        <v>#DIV/0!</v>
      </c>
      <c r="P15" s="83" t="e">
        <f t="shared" si="12"/>
        <v>#DIV/0!</v>
      </c>
      <c r="Q15" s="84">
        <f t="shared" si="1"/>
        <v>4</v>
      </c>
      <c r="R15" s="84">
        <f t="shared" si="2"/>
        <v>59</v>
      </c>
      <c r="S15" s="84">
        <f t="shared" si="3"/>
        <v>1808</v>
      </c>
      <c r="T15" s="85">
        <f t="shared" si="13"/>
        <v>4.9534246575342467</v>
      </c>
      <c r="U15" s="85">
        <f t="shared" si="14"/>
        <v>59.441095890410963</v>
      </c>
      <c r="V15" s="86">
        <f t="shared" si="15"/>
        <v>1808</v>
      </c>
    </row>
    <row r="16" spans="1:22">
      <c r="A16" s="76">
        <v>40222</v>
      </c>
      <c r="B16" s="77">
        <f t="shared" si="4"/>
        <v>13</v>
      </c>
      <c r="C16" s="77">
        <f t="shared" si="5"/>
        <v>2</v>
      </c>
      <c r="D16" s="77">
        <f t="shared" si="6"/>
        <v>2010</v>
      </c>
      <c r="E16" s="78"/>
      <c r="F16" s="79">
        <f t="shared" si="16"/>
        <v>40148</v>
      </c>
      <c r="G16" s="77">
        <f t="shared" si="7"/>
        <v>1</v>
      </c>
      <c r="H16" s="77">
        <f t="shared" si="8"/>
        <v>2010</v>
      </c>
      <c r="I16" s="76">
        <f t="shared" si="9"/>
        <v>40193</v>
      </c>
      <c r="J16" s="80">
        <v>38346</v>
      </c>
      <c r="K16" s="81"/>
      <c r="L16" s="82">
        <f t="shared" si="10"/>
        <v>38292</v>
      </c>
      <c r="M16" s="80">
        <f t="shared" si="0"/>
        <v>38336</v>
      </c>
      <c r="N16" s="83">
        <v>2200</v>
      </c>
      <c r="O16" s="83" t="e">
        <f t="shared" si="11"/>
        <v>#DIV/0!</v>
      </c>
      <c r="P16" s="83" t="e">
        <f t="shared" si="12"/>
        <v>#DIV/0!</v>
      </c>
      <c r="Q16" s="84">
        <f t="shared" si="1"/>
        <v>5</v>
      </c>
      <c r="R16" s="84">
        <f t="shared" si="2"/>
        <v>61</v>
      </c>
      <c r="S16" s="84">
        <f t="shared" si="3"/>
        <v>1876</v>
      </c>
      <c r="T16" s="85">
        <f t="shared" si="13"/>
        <v>5.13972602739726</v>
      </c>
      <c r="U16" s="85">
        <f t="shared" si="14"/>
        <v>61.676712328767124</v>
      </c>
      <c r="V16" s="86">
        <f t="shared" si="15"/>
        <v>1876</v>
      </c>
    </row>
  </sheetData>
  <mergeCells count="6">
    <mergeCell ref="T2:V2"/>
    <mergeCell ref="A1:B1"/>
    <mergeCell ref="A2:I2"/>
    <mergeCell ref="J2:M2"/>
    <mergeCell ref="N2:O2"/>
    <mergeCell ref="Q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rightToLeft="1" workbookViewId="0">
      <selection sqref="A1:B1"/>
    </sheetView>
  </sheetViews>
  <sheetFormatPr defaultRowHeight="12.75"/>
  <cols>
    <col min="1" max="1" width="10.140625" bestFit="1" customWidth="1"/>
    <col min="2" max="2" width="6.140625" bestFit="1" customWidth="1"/>
    <col min="3" max="3" width="5.5703125" customWidth="1"/>
    <col min="4" max="4" width="5" bestFit="1" customWidth="1"/>
    <col min="5" max="5" width="9.140625" style="69" bestFit="1" customWidth="1"/>
    <col min="6" max="6" width="7.5703125" bestFit="1" customWidth="1"/>
    <col min="7" max="8" width="6.5703125" bestFit="1" customWidth="1"/>
    <col min="9" max="9" width="10.140625" bestFit="1" customWidth="1"/>
    <col min="10" max="10" width="10.85546875" bestFit="1" customWidth="1"/>
    <col min="11" max="11" width="10.42578125" style="69" customWidth="1"/>
    <col min="12" max="12" width="9.85546875" bestFit="1" customWidth="1"/>
    <col min="13" max="13" width="10.140625" bestFit="1" customWidth="1"/>
    <col min="14" max="14" width="15.140625" style="70" bestFit="1" customWidth="1"/>
    <col min="15" max="15" width="12.5703125" style="70" bestFit="1" customWidth="1"/>
    <col min="16" max="16" width="6.42578125" style="70" bestFit="1" customWidth="1"/>
  </cols>
  <sheetData>
    <row r="1" spans="1:22">
      <c r="A1" s="266" t="s">
        <v>84</v>
      </c>
      <c r="B1" s="266"/>
      <c r="C1">
        <v>15</v>
      </c>
    </row>
    <row r="2" spans="1:22" s="72" customFormat="1">
      <c r="A2" s="265" t="s">
        <v>85</v>
      </c>
      <c r="B2" s="265"/>
      <c r="C2" s="265"/>
      <c r="D2" s="265"/>
      <c r="E2" s="265"/>
      <c r="F2" s="265"/>
      <c r="G2" s="265"/>
      <c r="H2" s="265"/>
      <c r="I2" s="265"/>
      <c r="J2" s="267" t="s">
        <v>86</v>
      </c>
      <c r="K2" s="267"/>
      <c r="L2" s="267"/>
      <c r="M2" s="267"/>
      <c r="N2" s="268" t="s">
        <v>87</v>
      </c>
      <c r="O2" s="268"/>
      <c r="P2" s="71"/>
      <c r="Q2" s="267" t="s">
        <v>88</v>
      </c>
      <c r="R2" s="267"/>
      <c r="S2" s="267"/>
      <c r="T2" s="265" t="s">
        <v>89</v>
      </c>
      <c r="U2" s="265"/>
      <c r="V2" s="265"/>
    </row>
    <row r="3" spans="1:22" s="75" customFormat="1" ht="38.25">
      <c r="A3" s="73" t="s">
        <v>90</v>
      </c>
      <c r="B3" s="73" t="s">
        <v>91</v>
      </c>
      <c r="C3" s="73" t="s">
        <v>92</v>
      </c>
      <c r="D3" s="73" t="s">
        <v>93</v>
      </c>
      <c r="E3" s="73" t="s">
        <v>94</v>
      </c>
      <c r="F3" s="73" t="s">
        <v>95</v>
      </c>
      <c r="G3" s="73" t="s">
        <v>96</v>
      </c>
      <c r="H3" s="73" t="s">
        <v>97</v>
      </c>
      <c r="I3" s="73" t="s">
        <v>98</v>
      </c>
      <c r="J3" s="74" t="s">
        <v>99</v>
      </c>
      <c r="K3" s="74" t="s">
        <v>100</v>
      </c>
      <c r="L3" s="74" t="s">
        <v>95</v>
      </c>
      <c r="M3" s="74" t="s">
        <v>101</v>
      </c>
      <c r="N3" s="73" t="s">
        <v>102</v>
      </c>
      <c r="O3" s="73" t="s">
        <v>103</v>
      </c>
      <c r="P3" s="73" t="s">
        <v>104</v>
      </c>
      <c r="Q3" s="74" t="s">
        <v>105</v>
      </c>
      <c r="R3" s="74" t="s">
        <v>106</v>
      </c>
      <c r="S3" s="74" t="s">
        <v>107</v>
      </c>
      <c r="T3" s="73" t="s">
        <v>105</v>
      </c>
      <c r="U3" s="73" t="s">
        <v>106</v>
      </c>
      <c r="V3" s="73" t="s">
        <v>107</v>
      </c>
    </row>
    <row r="4" spans="1:22">
      <c r="A4" s="76">
        <v>39814</v>
      </c>
      <c r="B4" s="77">
        <f>DAY(A4)</f>
        <v>1</v>
      </c>
      <c r="C4" s="77">
        <f>MONTH(A4)</f>
        <v>1</v>
      </c>
      <c r="D4" s="77">
        <f>YEAR(A4)</f>
        <v>2009</v>
      </c>
      <c r="E4" s="78">
        <f>VLOOKUP(F4,Madad!$A:$E,4,0)</f>
        <v>480.82</v>
      </c>
      <c r="F4" s="79">
        <f>(IF(MONTH(I4)=1,DATE(YEAR(I4)-1,12,1),DATE(YEAR(I4),MONTH(I4)-1,1)))</f>
        <v>39753</v>
      </c>
      <c r="G4" s="77">
        <f>IF(DAY(A4)&lt;$C$1,IF(MONTH(A4)-1=0,12,MONTH(A4)-1),MONTH(A4))</f>
        <v>12</v>
      </c>
      <c r="H4" s="77">
        <f>IF(DAY(A4)&lt;$C$1,IF(MONTH(A4)-1=0,YEAR(A4)-1,YEAR(A4)),YEAR(A4))</f>
        <v>2008</v>
      </c>
      <c r="I4" s="76">
        <f>DATE(H4,G4,$C$1)</f>
        <v>39797</v>
      </c>
      <c r="J4" s="80">
        <v>38754</v>
      </c>
      <c r="K4" s="81">
        <f>VLOOKUP(L4,Madad!$A:$E,4,0)</f>
        <v>448</v>
      </c>
      <c r="L4" s="82">
        <f>(IF(MONTH(M4)=1,DATE(YEAR(M4)-1,12,1),DATE(YEAR(M4),MONTH(M4)-1,1)))</f>
        <v>38687</v>
      </c>
      <c r="M4" s="80">
        <f t="shared" ref="M4:M16" si="0">DATE(IF(DAY(J4)&lt;$C$1,IF(MONTH(J4)-1=0,YEAR(J4)-1,YEAR(J4)),YEAR(J4)),IF(DAY(J4)&lt;$C$1,IF(MONTH(J4)-1=0,12,MONTH(J4)-1),MONTH(J4)),$C$1)</f>
        <v>38732</v>
      </c>
      <c r="N4" s="83">
        <v>1000</v>
      </c>
      <c r="O4" s="83">
        <f>N4*E4/K4</f>
        <v>1073.2589285714287</v>
      </c>
      <c r="P4" s="83">
        <f>O4-N4</f>
        <v>73.258928571428669</v>
      </c>
      <c r="Q4" s="84">
        <f t="shared" ref="Q4:Q16" si="1">DATEDIF(J4,A4,"y")</f>
        <v>2</v>
      </c>
      <c r="R4" s="84">
        <f t="shared" ref="R4:R16" si="2">DATEDIF(J4,A4,"m")</f>
        <v>34</v>
      </c>
      <c r="S4" s="84">
        <f t="shared" ref="S4:S16" si="3">DATEDIF(J4,A4,"d")</f>
        <v>1060</v>
      </c>
      <c r="T4" s="85">
        <f>(A4-J4)/365</f>
        <v>2.904109589041096</v>
      </c>
      <c r="U4" s="85">
        <f>(A4-J4)/365*12</f>
        <v>34.849315068493155</v>
      </c>
      <c r="V4" s="86">
        <f>(A4-J4)</f>
        <v>1060</v>
      </c>
    </row>
    <row r="5" spans="1:22">
      <c r="A5" s="76">
        <v>39848</v>
      </c>
      <c r="B5" s="77">
        <f t="shared" ref="B5:B16" si="4">DAY(A5)</f>
        <v>4</v>
      </c>
      <c r="C5" s="77">
        <f t="shared" ref="C5:C16" si="5">MONTH(A5)</f>
        <v>2</v>
      </c>
      <c r="D5" s="77">
        <f t="shared" ref="D5:D16" si="6">YEAR(A5)</f>
        <v>2009</v>
      </c>
      <c r="E5" s="78">
        <f>VLOOKUP(F5,Madad!$A:$E,4,0)</f>
        <v>480.37</v>
      </c>
      <c r="F5" s="79">
        <f>(IF(MONTH(I5)=1,DATE(YEAR(I5)-1,12,1),DATE(YEAR(I5),MONTH(I5)-1,1)))</f>
        <v>39783</v>
      </c>
      <c r="G5" s="77">
        <f t="shared" ref="G5:G16" si="7">IF(DAY(A5)&lt;$C$1,IF(MONTH(A5)-1=0,12,MONTH(A5)-1),MONTH(A5))</f>
        <v>1</v>
      </c>
      <c r="H5" s="77">
        <f t="shared" ref="H5:H16" si="8">IF(DAY(A5)&lt;$C$1,IF(MONTH(A5)-1=0,YEAR(A5)-1,YEAR(A5)),YEAR(A5))</f>
        <v>2009</v>
      </c>
      <c r="I5" s="76">
        <f t="shared" ref="I5:I16" si="9">DATE(H5,G5,$C$1)</f>
        <v>39828</v>
      </c>
      <c r="J5" s="80">
        <v>38720</v>
      </c>
      <c r="K5" s="81">
        <f>VLOOKUP(L5,Madad!$A:$E,4,0)</f>
        <v>448.87</v>
      </c>
      <c r="L5" s="82">
        <f t="shared" ref="L5:L16" si="10">(IF(MONTH(M5)=1,DATE(YEAR(M5)-1,12,1),DATE(YEAR(M5),MONTH(M5)-1,1)))</f>
        <v>38657</v>
      </c>
      <c r="M5" s="80">
        <f t="shared" si="0"/>
        <v>38701</v>
      </c>
      <c r="N5" s="83">
        <v>1100</v>
      </c>
      <c r="O5" s="83">
        <f t="shared" ref="O5:O16" si="11">N5*E5/K5</f>
        <v>1177.1938423151469</v>
      </c>
      <c r="P5" s="83">
        <f t="shared" ref="P5:P16" si="12">O5-N5</f>
        <v>77.193842315146867</v>
      </c>
      <c r="Q5" s="84">
        <f t="shared" si="1"/>
        <v>3</v>
      </c>
      <c r="R5" s="84">
        <f t="shared" si="2"/>
        <v>37</v>
      </c>
      <c r="S5" s="84">
        <f t="shared" si="3"/>
        <v>1128</v>
      </c>
      <c r="T5" s="85">
        <f t="shared" ref="T5:T16" si="13">(A5-J5)/365</f>
        <v>3.0904109589041098</v>
      </c>
      <c r="U5" s="85">
        <f t="shared" ref="U5:U16" si="14">(A5-J5)/365*12</f>
        <v>37.084931506849315</v>
      </c>
      <c r="V5" s="86">
        <f t="shared" ref="V5:V16" si="15">(A5-J5)</f>
        <v>1128</v>
      </c>
    </row>
    <row r="6" spans="1:22">
      <c r="A6" s="76">
        <v>39882</v>
      </c>
      <c r="B6" s="77">
        <f t="shared" si="4"/>
        <v>10</v>
      </c>
      <c r="C6" s="77">
        <f t="shared" si="5"/>
        <v>3</v>
      </c>
      <c r="D6" s="77">
        <f t="shared" si="6"/>
        <v>2009</v>
      </c>
      <c r="E6" s="78">
        <f>VLOOKUP(F6,Madad!$A:$E,4,0)</f>
        <v>477.82</v>
      </c>
      <c r="F6" s="79">
        <f t="shared" ref="F6:F16" si="16">(IF(MONTH(I6)=1,DATE(YEAR(I6)-1,12,1),DATE(YEAR(I6),MONTH(I6)-1,1)))</f>
        <v>39814</v>
      </c>
      <c r="G6" s="77">
        <f t="shared" si="7"/>
        <v>2</v>
      </c>
      <c r="H6" s="77">
        <f t="shared" si="8"/>
        <v>2009</v>
      </c>
      <c r="I6" s="76">
        <f t="shared" si="9"/>
        <v>39859</v>
      </c>
      <c r="J6" s="80">
        <v>38686</v>
      </c>
      <c r="K6" s="81">
        <f>VLOOKUP(L6,Madad!$A:$E,4,0)</f>
        <v>449.3</v>
      </c>
      <c r="L6" s="82">
        <f t="shared" si="10"/>
        <v>38626</v>
      </c>
      <c r="M6" s="80">
        <f t="shared" si="0"/>
        <v>38671</v>
      </c>
      <c r="N6" s="83">
        <v>1200</v>
      </c>
      <c r="O6" s="83">
        <f t="shared" si="11"/>
        <v>1276.1718228355219</v>
      </c>
      <c r="P6" s="83">
        <f t="shared" si="12"/>
        <v>76.17182283552188</v>
      </c>
      <c r="Q6" s="84">
        <f t="shared" si="1"/>
        <v>3</v>
      </c>
      <c r="R6" s="84">
        <f t="shared" si="2"/>
        <v>39</v>
      </c>
      <c r="S6" s="84">
        <f t="shared" si="3"/>
        <v>1196</v>
      </c>
      <c r="T6" s="85">
        <f t="shared" si="13"/>
        <v>3.2767123287671232</v>
      </c>
      <c r="U6" s="85">
        <f t="shared" si="14"/>
        <v>39.320547945205476</v>
      </c>
      <c r="V6" s="86">
        <f t="shared" si="15"/>
        <v>1196</v>
      </c>
    </row>
    <row r="7" spans="1:22">
      <c r="A7" s="76">
        <v>39916</v>
      </c>
      <c r="B7" s="77">
        <f t="shared" si="4"/>
        <v>13</v>
      </c>
      <c r="C7" s="77">
        <f t="shared" si="5"/>
        <v>4</v>
      </c>
      <c r="D7" s="77">
        <f t="shared" si="6"/>
        <v>2009</v>
      </c>
      <c r="E7" s="78">
        <f>VLOOKUP(F7,Madad!$A:$E,4,0)</f>
        <v>477.35</v>
      </c>
      <c r="F7" s="79">
        <f t="shared" si="16"/>
        <v>39845</v>
      </c>
      <c r="G7" s="77">
        <f t="shared" si="7"/>
        <v>3</v>
      </c>
      <c r="H7" s="77">
        <f t="shared" si="8"/>
        <v>2009</v>
      </c>
      <c r="I7" s="76">
        <f t="shared" si="9"/>
        <v>39887</v>
      </c>
      <c r="J7" s="80">
        <v>38652</v>
      </c>
      <c r="K7" s="81">
        <f>VLOOKUP(L7,Madad!$A:$E,4,0)</f>
        <v>445.82</v>
      </c>
      <c r="L7" s="82">
        <f t="shared" si="10"/>
        <v>38596</v>
      </c>
      <c r="M7" s="80">
        <f t="shared" si="0"/>
        <v>38640</v>
      </c>
      <c r="N7" s="83">
        <v>1300</v>
      </c>
      <c r="O7" s="83">
        <f t="shared" si="11"/>
        <v>1391.9406935534521</v>
      </c>
      <c r="P7" s="83">
        <f t="shared" si="12"/>
        <v>91.940693553452093</v>
      </c>
      <c r="Q7" s="84">
        <f t="shared" si="1"/>
        <v>3</v>
      </c>
      <c r="R7" s="84">
        <f t="shared" si="2"/>
        <v>41</v>
      </c>
      <c r="S7" s="84">
        <f t="shared" si="3"/>
        <v>1264</v>
      </c>
      <c r="T7" s="85">
        <f t="shared" si="13"/>
        <v>3.463013698630137</v>
      </c>
      <c r="U7" s="85">
        <f t="shared" si="14"/>
        <v>41.556164383561644</v>
      </c>
      <c r="V7" s="86">
        <f t="shared" si="15"/>
        <v>1264</v>
      </c>
    </row>
    <row r="8" spans="1:22">
      <c r="A8" s="76">
        <v>39950</v>
      </c>
      <c r="B8" s="77">
        <f t="shared" si="4"/>
        <v>17</v>
      </c>
      <c r="C8" s="77">
        <f t="shared" si="5"/>
        <v>5</v>
      </c>
      <c r="D8" s="77">
        <f t="shared" si="6"/>
        <v>2009</v>
      </c>
      <c r="E8" s="78">
        <f>VLOOKUP(F8,Madad!$A:$E,4,0)</f>
        <v>484.47</v>
      </c>
      <c r="F8" s="79">
        <f t="shared" si="16"/>
        <v>39904</v>
      </c>
      <c r="G8" s="77">
        <f t="shared" si="7"/>
        <v>5</v>
      </c>
      <c r="H8" s="77">
        <f t="shared" si="8"/>
        <v>2009</v>
      </c>
      <c r="I8" s="76">
        <f t="shared" si="9"/>
        <v>39948</v>
      </c>
      <c r="J8" s="80">
        <v>38618</v>
      </c>
      <c r="K8" s="81">
        <f>VLOOKUP(L8,Madad!$A:$E,4,0)</f>
        <v>445.39</v>
      </c>
      <c r="L8" s="82">
        <f t="shared" si="10"/>
        <v>38565</v>
      </c>
      <c r="M8" s="80">
        <f t="shared" si="0"/>
        <v>38610</v>
      </c>
      <c r="N8" s="83">
        <v>1400</v>
      </c>
      <c r="O8" s="83">
        <f t="shared" si="11"/>
        <v>1522.8406565032892</v>
      </c>
      <c r="P8" s="83">
        <f t="shared" si="12"/>
        <v>122.84065650328921</v>
      </c>
      <c r="Q8" s="84">
        <f t="shared" si="1"/>
        <v>3</v>
      </c>
      <c r="R8" s="84">
        <f t="shared" si="2"/>
        <v>43</v>
      </c>
      <c r="S8" s="84">
        <f t="shared" si="3"/>
        <v>1332</v>
      </c>
      <c r="T8" s="85">
        <f t="shared" si="13"/>
        <v>3.6493150684931508</v>
      </c>
      <c r="U8" s="85">
        <f t="shared" si="14"/>
        <v>43.791780821917811</v>
      </c>
      <c r="V8" s="86">
        <f t="shared" si="15"/>
        <v>1332</v>
      </c>
    </row>
    <row r="9" spans="1:22">
      <c r="A9" s="76">
        <v>39984</v>
      </c>
      <c r="B9" s="77">
        <f t="shared" si="4"/>
        <v>20</v>
      </c>
      <c r="C9" s="77">
        <f t="shared" si="5"/>
        <v>6</v>
      </c>
      <c r="D9" s="77">
        <f t="shared" si="6"/>
        <v>2009</v>
      </c>
      <c r="E9" s="78">
        <f>VLOOKUP(F9,Madad!$A:$E,4,0)</f>
        <v>486.37</v>
      </c>
      <c r="F9" s="79">
        <f t="shared" si="16"/>
        <v>39934</v>
      </c>
      <c r="G9" s="77">
        <f t="shared" si="7"/>
        <v>6</v>
      </c>
      <c r="H9" s="77">
        <f t="shared" si="8"/>
        <v>2009</v>
      </c>
      <c r="I9" s="76">
        <f t="shared" si="9"/>
        <v>39979</v>
      </c>
      <c r="J9" s="80">
        <v>38584</v>
      </c>
      <c r="K9" s="81">
        <f>VLOOKUP(L9,Madad!$A:$E,4,0)</f>
        <v>444.52</v>
      </c>
      <c r="L9" s="82">
        <f t="shared" si="10"/>
        <v>38534</v>
      </c>
      <c r="M9" s="80">
        <f t="shared" si="0"/>
        <v>38579</v>
      </c>
      <c r="N9" s="83">
        <v>1500</v>
      </c>
      <c r="O9" s="83">
        <f t="shared" si="11"/>
        <v>1641.2197426437506</v>
      </c>
      <c r="P9" s="83">
        <f t="shared" si="12"/>
        <v>141.21974264375058</v>
      </c>
      <c r="Q9" s="84">
        <f t="shared" si="1"/>
        <v>3</v>
      </c>
      <c r="R9" s="84">
        <f t="shared" si="2"/>
        <v>46</v>
      </c>
      <c r="S9" s="84">
        <f t="shared" si="3"/>
        <v>1400</v>
      </c>
      <c r="T9" s="85">
        <f t="shared" si="13"/>
        <v>3.8356164383561642</v>
      </c>
      <c r="U9" s="85">
        <f t="shared" si="14"/>
        <v>46.027397260273972</v>
      </c>
      <c r="V9" s="86">
        <f t="shared" si="15"/>
        <v>1400</v>
      </c>
    </row>
    <row r="10" spans="1:22">
      <c r="A10" s="76">
        <v>40018</v>
      </c>
      <c r="B10" s="77">
        <f t="shared" si="4"/>
        <v>24</v>
      </c>
      <c r="C10" s="77">
        <f t="shared" si="5"/>
        <v>7</v>
      </c>
      <c r="D10" s="77">
        <f t="shared" si="6"/>
        <v>2009</v>
      </c>
      <c r="E10" s="78">
        <f>VLOOKUP(F10,Madad!$A:$E,4,0)</f>
        <v>490.64</v>
      </c>
      <c r="F10" s="79">
        <f t="shared" si="16"/>
        <v>39965</v>
      </c>
      <c r="G10" s="77">
        <f t="shared" si="7"/>
        <v>7</v>
      </c>
      <c r="H10" s="77">
        <f t="shared" si="8"/>
        <v>2009</v>
      </c>
      <c r="I10" s="76">
        <f t="shared" si="9"/>
        <v>40009</v>
      </c>
      <c r="J10" s="80">
        <v>38550</v>
      </c>
      <c r="K10" s="81">
        <f>VLOOKUP(L10,Madad!$A:$E,4,0)</f>
        <v>439.73</v>
      </c>
      <c r="L10" s="82">
        <f t="shared" si="10"/>
        <v>38504</v>
      </c>
      <c r="M10" s="80">
        <f t="shared" si="0"/>
        <v>38548</v>
      </c>
      <c r="N10" s="83">
        <v>1600</v>
      </c>
      <c r="O10" s="83">
        <f t="shared" si="11"/>
        <v>1785.2409433061196</v>
      </c>
      <c r="P10" s="83">
        <f t="shared" si="12"/>
        <v>185.24094330611956</v>
      </c>
      <c r="Q10" s="84">
        <f t="shared" si="1"/>
        <v>4</v>
      </c>
      <c r="R10" s="84">
        <f t="shared" si="2"/>
        <v>48</v>
      </c>
      <c r="S10" s="84">
        <f t="shared" si="3"/>
        <v>1468</v>
      </c>
      <c r="T10" s="85">
        <f t="shared" si="13"/>
        <v>4.021917808219178</v>
      </c>
      <c r="U10" s="85">
        <f t="shared" si="14"/>
        <v>48.263013698630132</v>
      </c>
      <c r="V10" s="86">
        <f t="shared" si="15"/>
        <v>1468</v>
      </c>
    </row>
    <row r="11" spans="1:22">
      <c r="A11" s="76">
        <v>40052</v>
      </c>
      <c r="B11" s="77">
        <f t="shared" si="4"/>
        <v>27</v>
      </c>
      <c r="C11" s="77">
        <f t="shared" si="5"/>
        <v>8</v>
      </c>
      <c r="D11" s="77">
        <f t="shared" si="6"/>
        <v>2009</v>
      </c>
      <c r="E11" s="78">
        <f>VLOOKUP(F11,Madad!$A:$E,4,0)</f>
        <v>495.86</v>
      </c>
      <c r="F11" s="79">
        <f t="shared" si="16"/>
        <v>39995</v>
      </c>
      <c r="G11" s="77">
        <f t="shared" si="7"/>
        <v>8</v>
      </c>
      <c r="H11" s="77">
        <f t="shared" si="8"/>
        <v>2009</v>
      </c>
      <c r="I11" s="76">
        <f t="shared" si="9"/>
        <v>40040</v>
      </c>
      <c r="J11" s="80">
        <v>38516</v>
      </c>
      <c r="K11" s="81">
        <f>VLOOKUP(L11,Madad!$A:$E,4,0)</f>
        <v>437.99</v>
      </c>
      <c r="L11" s="82">
        <f t="shared" si="10"/>
        <v>38443</v>
      </c>
      <c r="M11" s="80">
        <f t="shared" si="0"/>
        <v>38487</v>
      </c>
      <c r="N11" s="83">
        <v>1700</v>
      </c>
      <c r="O11" s="83">
        <f t="shared" si="11"/>
        <v>1924.614717230987</v>
      </c>
      <c r="P11" s="83">
        <f t="shared" si="12"/>
        <v>224.61471723098703</v>
      </c>
      <c r="Q11" s="84">
        <f t="shared" si="1"/>
        <v>4</v>
      </c>
      <c r="R11" s="84">
        <f t="shared" si="2"/>
        <v>50</v>
      </c>
      <c r="S11" s="84">
        <f t="shared" si="3"/>
        <v>1536</v>
      </c>
      <c r="T11" s="85">
        <f t="shared" si="13"/>
        <v>4.2082191780821914</v>
      </c>
      <c r="U11" s="85">
        <f t="shared" si="14"/>
        <v>50.498630136986293</v>
      </c>
      <c r="V11" s="86">
        <f t="shared" si="15"/>
        <v>1536</v>
      </c>
    </row>
    <row r="12" spans="1:22">
      <c r="A12" s="76">
        <v>40086</v>
      </c>
      <c r="B12" s="77">
        <f t="shared" si="4"/>
        <v>30</v>
      </c>
      <c r="C12" s="77">
        <f t="shared" si="5"/>
        <v>9</v>
      </c>
      <c r="D12" s="77">
        <f t="shared" si="6"/>
        <v>2009</v>
      </c>
      <c r="E12" s="78">
        <f>VLOOKUP(F12,Madad!$A:$E,4,0)</f>
        <v>498.23</v>
      </c>
      <c r="F12" s="79">
        <f t="shared" si="16"/>
        <v>40026</v>
      </c>
      <c r="G12" s="77">
        <f t="shared" si="7"/>
        <v>9</v>
      </c>
      <c r="H12" s="77">
        <f t="shared" si="8"/>
        <v>2009</v>
      </c>
      <c r="I12" s="76">
        <f t="shared" si="9"/>
        <v>40071</v>
      </c>
      <c r="J12" s="80">
        <v>38482</v>
      </c>
      <c r="K12" s="81">
        <f>VLOOKUP(L12,Madad!$A:$E,4,0)</f>
        <v>434.95</v>
      </c>
      <c r="L12" s="82">
        <f t="shared" si="10"/>
        <v>38412</v>
      </c>
      <c r="M12" s="80">
        <f t="shared" si="0"/>
        <v>38457</v>
      </c>
      <c r="N12" s="83">
        <v>1800</v>
      </c>
      <c r="O12" s="83">
        <f t="shared" si="11"/>
        <v>2061.8783768249223</v>
      </c>
      <c r="P12" s="83">
        <f t="shared" si="12"/>
        <v>261.87837682492227</v>
      </c>
      <c r="Q12" s="84">
        <f t="shared" si="1"/>
        <v>4</v>
      </c>
      <c r="R12" s="84">
        <f t="shared" si="2"/>
        <v>52</v>
      </c>
      <c r="S12" s="84">
        <f t="shared" si="3"/>
        <v>1604</v>
      </c>
      <c r="T12" s="85">
        <f t="shared" si="13"/>
        <v>4.3945205479452056</v>
      </c>
      <c r="U12" s="85">
        <f t="shared" si="14"/>
        <v>52.734246575342468</v>
      </c>
      <c r="V12" s="86">
        <f t="shared" si="15"/>
        <v>1604</v>
      </c>
    </row>
    <row r="13" spans="1:22">
      <c r="A13" s="76">
        <v>40120</v>
      </c>
      <c r="B13" s="77">
        <f t="shared" si="4"/>
        <v>3</v>
      </c>
      <c r="C13" s="77">
        <f t="shared" si="5"/>
        <v>11</v>
      </c>
      <c r="D13" s="77">
        <f t="shared" si="6"/>
        <v>2009</v>
      </c>
      <c r="E13" s="78">
        <f>VLOOKUP(F13,Madad!$A:$E,4,0)</f>
        <v>496.81</v>
      </c>
      <c r="F13" s="79">
        <f t="shared" si="16"/>
        <v>40057</v>
      </c>
      <c r="G13" s="77">
        <f t="shared" si="7"/>
        <v>10</v>
      </c>
      <c r="H13" s="77">
        <f t="shared" si="8"/>
        <v>2009</v>
      </c>
      <c r="I13" s="76">
        <f t="shared" si="9"/>
        <v>40101</v>
      </c>
      <c r="J13" s="80">
        <v>38448</v>
      </c>
      <c r="K13" s="81">
        <f>VLOOKUP(L13,Madad!$A:$E,4,0)</f>
        <v>435.82</v>
      </c>
      <c r="L13" s="82">
        <f t="shared" si="10"/>
        <v>38384</v>
      </c>
      <c r="M13" s="80">
        <f t="shared" si="0"/>
        <v>38426</v>
      </c>
      <c r="N13" s="83">
        <v>1900</v>
      </c>
      <c r="O13" s="83">
        <f t="shared" si="11"/>
        <v>2165.8918819696205</v>
      </c>
      <c r="P13" s="83">
        <f t="shared" si="12"/>
        <v>265.8918819696205</v>
      </c>
      <c r="Q13" s="84">
        <f t="shared" si="1"/>
        <v>4</v>
      </c>
      <c r="R13" s="84">
        <f t="shared" si="2"/>
        <v>54</v>
      </c>
      <c r="S13" s="84">
        <f t="shared" si="3"/>
        <v>1672</v>
      </c>
      <c r="T13" s="85">
        <f t="shared" si="13"/>
        <v>4.580821917808219</v>
      </c>
      <c r="U13" s="85">
        <f t="shared" si="14"/>
        <v>54.969863013698628</v>
      </c>
      <c r="V13" s="86">
        <f t="shared" si="15"/>
        <v>1672</v>
      </c>
    </row>
    <row r="14" spans="1:22">
      <c r="A14" s="76">
        <v>40154</v>
      </c>
      <c r="B14" s="77">
        <f t="shared" si="4"/>
        <v>7</v>
      </c>
      <c r="C14" s="77">
        <f t="shared" si="5"/>
        <v>12</v>
      </c>
      <c r="D14" s="77">
        <f t="shared" si="6"/>
        <v>2009</v>
      </c>
      <c r="E14" s="78">
        <f>VLOOKUP(F14,Madad!$A:$E,4,0)</f>
        <v>497.75</v>
      </c>
      <c r="F14" s="79">
        <f t="shared" si="16"/>
        <v>40087</v>
      </c>
      <c r="G14" s="77">
        <f t="shared" si="7"/>
        <v>11</v>
      </c>
      <c r="H14" s="77">
        <f t="shared" si="8"/>
        <v>2009</v>
      </c>
      <c r="I14" s="76">
        <f t="shared" si="9"/>
        <v>40132</v>
      </c>
      <c r="J14" s="80">
        <v>38414</v>
      </c>
      <c r="K14" s="81">
        <f>VLOOKUP(L14,Madad!$A:$E,4,0)</f>
        <v>434.95</v>
      </c>
      <c r="L14" s="82">
        <f t="shared" si="10"/>
        <v>38353</v>
      </c>
      <c r="M14" s="80">
        <f t="shared" si="0"/>
        <v>38398</v>
      </c>
      <c r="N14" s="83">
        <v>2000</v>
      </c>
      <c r="O14" s="83">
        <f t="shared" si="11"/>
        <v>2288.7688240027592</v>
      </c>
      <c r="P14" s="83">
        <f t="shared" si="12"/>
        <v>288.76882400275917</v>
      </c>
      <c r="Q14" s="84">
        <f t="shared" si="1"/>
        <v>4</v>
      </c>
      <c r="R14" s="84">
        <f t="shared" si="2"/>
        <v>57</v>
      </c>
      <c r="S14" s="84">
        <f t="shared" si="3"/>
        <v>1740</v>
      </c>
      <c r="T14" s="85">
        <f t="shared" si="13"/>
        <v>4.7671232876712333</v>
      </c>
      <c r="U14" s="85">
        <f t="shared" si="14"/>
        <v>57.205479452054803</v>
      </c>
      <c r="V14" s="86">
        <f t="shared" si="15"/>
        <v>1740</v>
      </c>
    </row>
    <row r="15" spans="1:22">
      <c r="A15" s="76">
        <v>40188</v>
      </c>
      <c r="B15" s="77">
        <f t="shared" si="4"/>
        <v>10</v>
      </c>
      <c r="C15" s="77">
        <f t="shared" si="5"/>
        <v>1</v>
      </c>
      <c r="D15" s="77">
        <f t="shared" si="6"/>
        <v>2010</v>
      </c>
      <c r="E15" s="78">
        <f>VLOOKUP(F15,Madad!$A:$E,4,0)</f>
        <v>499.18</v>
      </c>
      <c r="F15" s="79">
        <f t="shared" si="16"/>
        <v>40118</v>
      </c>
      <c r="G15" s="77">
        <f t="shared" si="7"/>
        <v>12</v>
      </c>
      <c r="H15" s="77">
        <f t="shared" si="8"/>
        <v>2009</v>
      </c>
      <c r="I15" s="76">
        <f t="shared" si="9"/>
        <v>40162</v>
      </c>
      <c r="J15" s="80">
        <v>38380</v>
      </c>
      <c r="K15" s="81">
        <f>VLOOKUP(L15,Madad!$A:$E,4,0)</f>
        <v>437.56</v>
      </c>
      <c r="L15" s="82">
        <f t="shared" si="10"/>
        <v>38322</v>
      </c>
      <c r="M15" s="80">
        <f t="shared" si="0"/>
        <v>38367</v>
      </c>
      <c r="N15" s="83">
        <v>2100</v>
      </c>
      <c r="O15" s="83">
        <f t="shared" si="11"/>
        <v>2395.7354419965263</v>
      </c>
      <c r="P15" s="83">
        <f t="shared" si="12"/>
        <v>295.73544199652633</v>
      </c>
      <c r="Q15" s="84">
        <f t="shared" si="1"/>
        <v>4</v>
      </c>
      <c r="R15" s="84">
        <f t="shared" si="2"/>
        <v>59</v>
      </c>
      <c r="S15" s="84">
        <f t="shared" si="3"/>
        <v>1808</v>
      </c>
      <c r="T15" s="85">
        <f t="shared" si="13"/>
        <v>4.9534246575342467</v>
      </c>
      <c r="U15" s="85">
        <f t="shared" si="14"/>
        <v>59.441095890410963</v>
      </c>
      <c r="V15" s="86">
        <f t="shared" si="15"/>
        <v>1808</v>
      </c>
    </row>
    <row r="16" spans="1:22">
      <c r="A16" s="76">
        <v>40222</v>
      </c>
      <c r="B16" s="77">
        <f t="shared" si="4"/>
        <v>13</v>
      </c>
      <c r="C16" s="77">
        <f t="shared" si="5"/>
        <v>2</v>
      </c>
      <c r="D16" s="77">
        <f t="shared" si="6"/>
        <v>2010</v>
      </c>
      <c r="E16" s="78">
        <f>VLOOKUP(F16,Madad!$A:$E,4,0)</f>
        <v>499.18</v>
      </c>
      <c r="F16" s="79">
        <f t="shared" si="16"/>
        <v>40148</v>
      </c>
      <c r="G16" s="77">
        <f t="shared" si="7"/>
        <v>1</v>
      </c>
      <c r="H16" s="77">
        <f t="shared" si="8"/>
        <v>2010</v>
      </c>
      <c r="I16" s="76">
        <f t="shared" si="9"/>
        <v>40193</v>
      </c>
      <c r="J16" s="80">
        <v>38346</v>
      </c>
      <c r="K16" s="81">
        <f>VLOOKUP(L16,Madad!$A:$E,4,0)</f>
        <v>437.12</v>
      </c>
      <c r="L16" s="82">
        <f t="shared" si="10"/>
        <v>38292</v>
      </c>
      <c r="M16" s="80">
        <f t="shared" si="0"/>
        <v>38336</v>
      </c>
      <c r="N16" s="83">
        <v>2200</v>
      </c>
      <c r="O16" s="83">
        <f t="shared" si="11"/>
        <v>2512.3444363103954</v>
      </c>
      <c r="P16" s="83">
        <f t="shared" si="12"/>
        <v>312.34443631039539</v>
      </c>
      <c r="Q16" s="84">
        <f t="shared" si="1"/>
        <v>5</v>
      </c>
      <c r="R16" s="84">
        <f t="shared" si="2"/>
        <v>61</v>
      </c>
      <c r="S16" s="84">
        <f t="shared" si="3"/>
        <v>1876</v>
      </c>
      <c r="T16" s="85">
        <f t="shared" si="13"/>
        <v>5.13972602739726</v>
      </c>
      <c r="U16" s="85">
        <f t="shared" si="14"/>
        <v>61.676712328767124</v>
      </c>
      <c r="V16" s="86">
        <f t="shared" si="15"/>
        <v>1876</v>
      </c>
    </row>
  </sheetData>
  <mergeCells count="6">
    <mergeCell ref="T2:V2"/>
    <mergeCell ref="A1:B1"/>
    <mergeCell ref="A2:I2"/>
    <mergeCell ref="J2:M2"/>
    <mergeCell ref="N2:O2"/>
    <mergeCell ref="Q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rightToLeft="1" workbookViewId="0">
      <selection sqref="A1:A2"/>
    </sheetView>
  </sheetViews>
  <sheetFormatPr defaultRowHeight="12.75"/>
  <cols>
    <col min="1" max="1" width="11.85546875" style="88" customWidth="1"/>
    <col min="2" max="2" width="6.85546875" style="88" bestFit="1" customWidth="1"/>
    <col min="3" max="3" width="10.140625" style="88" bestFit="1" customWidth="1"/>
    <col min="4" max="5" width="11.85546875" style="88" customWidth="1"/>
    <col min="6" max="16384" width="9.140625" style="88"/>
  </cols>
  <sheetData>
    <row r="1" spans="1:6" ht="12.75" customHeight="1">
      <c r="A1" s="269" t="s">
        <v>92</v>
      </c>
      <c r="B1" s="270" t="s">
        <v>108</v>
      </c>
      <c r="C1" s="98" t="s">
        <v>109</v>
      </c>
      <c r="D1" s="98" t="s">
        <v>109</v>
      </c>
      <c r="E1" s="87" t="s">
        <v>109</v>
      </c>
      <c r="F1"/>
    </row>
    <row r="2" spans="1:6" ht="12.75" customHeight="1">
      <c r="A2" s="269"/>
      <c r="B2" s="270"/>
      <c r="C2" s="98" t="s">
        <v>110</v>
      </c>
      <c r="D2" s="98" t="s">
        <v>111</v>
      </c>
      <c r="E2" s="87" t="s">
        <v>112</v>
      </c>
      <c r="F2"/>
    </row>
    <row r="3" spans="1:6">
      <c r="A3" s="89">
        <v>40238</v>
      </c>
      <c r="B3" s="90">
        <v>0.1</v>
      </c>
      <c r="C3" s="91">
        <v>197653.63</v>
      </c>
      <c r="D3" s="90">
        <v>494.91</v>
      </c>
      <c r="E3" s="90">
        <v>113.79</v>
      </c>
      <c r="F3"/>
    </row>
    <row r="4" spans="1:6">
      <c r="A4" s="92">
        <v>40210</v>
      </c>
      <c r="B4" s="93">
        <v>-0.28999999999999998</v>
      </c>
      <c r="C4" s="94">
        <v>197464.12</v>
      </c>
      <c r="D4" s="93">
        <v>494.43</v>
      </c>
      <c r="E4" s="93">
        <v>113.68</v>
      </c>
      <c r="F4"/>
    </row>
    <row r="5" spans="1:6">
      <c r="A5" s="95">
        <v>40179</v>
      </c>
      <c r="B5" s="96">
        <v>-0.67</v>
      </c>
      <c r="C5" s="97">
        <v>198032.64000000001</v>
      </c>
      <c r="D5" s="96">
        <v>495.86</v>
      </c>
      <c r="E5" s="96">
        <v>114.01</v>
      </c>
      <c r="F5"/>
    </row>
    <row r="6" spans="1:6">
      <c r="A6" s="92">
        <v>40148</v>
      </c>
      <c r="B6" s="93">
        <v>0</v>
      </c>
      <c r="C6" s="94">
        <v>199359.17</v>
      </c>
      <c r="D6" s="93">
        <v>499.18</v>
      </c>
      <c r="E6" s="93">
        <v>114.77</v>
      </c>
      <c r="F6"/>
    </row>
    <row r="7" spans="1:6">
      <c r="A7" s="95">
        <v>40118</v>
      </c>
      <c r="B7" s="96">
        <v>0.28999999999999998</v>
      </c>
      <c r="C7" s="97">
        <v>199359.17</v>
      </c>
      <c r="D7" s="96">
        <v>499.18</v>
      </c>
      <c r="E7" s="96">
        <v>114.77</v>
      </c>
      <c r="F7"/>
    </row>
    <row r="8" spans="1:6">
      <c r="A8" s="92">
        <v>40087</v>
      </c>
      <c r="B8" s="93">
        <v>0.19</v>
      </c>
      <c r="C8" s="94">
        <v>198790.66</v>
      </c>
      <c r="D8" s="93">
        <v>497.75</v>
      </c>
      <c r="E8" s="93">
        <v>114.44</v>
      </c>
      <c r="F8"/>
    </row>
    <row r="9" spans="1:6">
      <c r="A9" s="95">
        <v>40057</v>
      </c>
      <c r="B9" s="96">
        <v>-0.28999999999999998</v>
      </c>
      <c r="C9" s="97">
        <v>198411.65</v>
      </c>
      <c r="D9" s="96">
        <v>496.81</v>
      </c>
      <c r="E9" s="96">
        <v>114.22</v>
      </c>
      <c r="F9"/>
    </row>
    <row r="10" spans="1:6">
      <c r="A10" s="92">
        <v>40026</v>
      </c>
      <c r="B10" s="93">
        <v>0.48</v>
      </c>
      <c r="C10" s="94">
        <v>198980.16</v>
      </c>
      <c r="D10" s="93">
        <v>498.23</v>
      </c>
      <c r="E10" s="93">
        <v>114.55</v>
      </c>
      <c r="F10"/>
    </row>
    <row r="11" spans="1:6">
      <c r="A11" s="95">
        <v>39995</v>
      </c>
      <c r="B11" s="96">
        <v>1.06</v>
      </c>
      <c r="C11" s="97">
        <v>198032.4</v>
      </c>
      <c r="D11" s="96">
        <v>495.86</v>
      </c>
      <c r="E11" s="96">
        <v>114.01</v>
      </c>
      <c r="F11"/>
    </row>
    <row r="12" spans="1:6">
      <c r="A12" s="92">
        <v>39965</v>
      </c>
      <c r="B12" s="93">
        <v>0.88</v>
      </c>
      <c r="C12" s="94">
        <v>195948.09</v>
      </c>
      <c r="D12" s="93">
        <v>490.64</v>
      </c>
      <c r="E12" s="93">
        <v>112.81</v>
      </c>
      <c r="F12"/>
    </row>
    <row r="13" spans="1:6">
      <c r="A13" s="95">
        <v>39934</v>
      </c>
      <c r="B13" s="96">
        <v>0.39</v>
      </c>
      <c r="C13" s="97">
        <v>194242.54</v>
      </c>
      <c r="D13" s="96">
        <v>486.37</v>
      </c>
      <c r="E13" s="96">
        <v>111.82</v>
      </c>
      <c r="F13"/>
    </row>
    <row r="14" spans="1:6">
      <c r="A14" s="92">
        <v>39904</v>
      </c>
      <c r="B14" s="93">
        <v>0.99</v>
      </c>
      <c r="C14" s="94">
        <v>193484.52</v>
      </c>
      <c r="D14" s="93">
        <v>484.47</v>
      </c>
      <c r="E14" s="93">
        <v>111.39</v>
      </c>
      <c r="F14"/>
    </row>
    <row r="15" spans="1:6">
      <c r="A15" s="95">
        <v>39873</v>
      </c>
      <c r="B15" s="96">
        <v>0.5</v>
      </c>
      <c r="C15" s="97">
        <v>191589.47</v>
      </c>
      <c r="D15" s="96">
        <v>479.72</v>
      </c>
      <c r="E15" s="96">
        <v>110.3</v>
      </c>
      <c r="F15"/>
    </row>
    <row r="16" spans="1:6">
      <c r="A16" s="92">
        <v>39845</v>
      </c>
      <c r="B16" s="93">
        <v>-0.1</v>
      </c>
      <c r="C16" s="94">
        <v>190641.95</v>
      </c>
      <c r="D16" s="93">
        <v>477.35</v>
      </c>
      <c r="E16" s="93">
        <v>109.75</v>
      </c>
      <c r="F16"/>
    </row>
    <row r="17" spans="1:6">
      <c r="A17" s="95">
        <v>39814</v>
      </c>
      <c r="B17" s="96">
        <v>-0.53</v>
      </c>
      <c r="C17" s="97">
        <v>190831.45</v>
      </c>
      <c r="D17" s="96">
        <v>477.82</v>
      </c>
      <c r="E17" s="96">
        <v>109.86</v>
      </c>
      <c r="F17"/>
    </row>
    <row r="18" spans="1:6">
      <c r="A18" s="92">
        <v>39783</v>
      </c>
      <c r="B18" s="93">
        <v>-0.09</v>
      </c>
      <c r="C18" s="94">
        <v>191848.94</v>
      </c>
      <c r="D18" s="93">
        <v>480.37</v>
      </c>
      <c r="E18" s="93">
        <v>110.45</v>
      </c>
      <c r="F18"/>
    </row>
    <row r="19" spans="1:6">
      <c r="A19" s="95">
        <v>39753</v>
      </c>
      <c r="B19" s="96">
        <v>-0.56000000000000005</v>
      </c>
      <c r="C19" s="97">
        <v>192029.25</v>
      </c>
      <c r="D19" s="96">
        <v>480.82</v>
      </c>
      <c r="E19" s="96">
        <v>110.55</v>
      </c>
      <c r="F19"/>
    </row>
    <row r="20" spans="1:6">
      <c r="A20" s="92">
        <v>39722</v>
      </c>
      <c r="B20" s="93">
        <v>0.09</v>
      </c>
      <c r="C20" s="94">
        <v>193111.1</v>
      </c>
      <c r="D20" s="93">
        <v>483.53</v>
      </c>
      <c r="E20" s="93">
        <v>111.17</v>
      </c>
      <c r="F20"/>
    </row>
    <row r="21" spans="1:6">
      <c r="A21" s="95">
        <v>39692</v>
      </c>
      <c r="B21" s="96">
        <v>0</v>
      </c>
      <c r="C21" s="97">
        <v>192930.79</v>
      </c>
      <c r="D21" s="96">
        <v>483.08</v>
      </c>
      <c r="E21" s="96">
        <v>111.07</v>
      </c>
      <c r="F21"/>
    </row>
    <row r="22" spans="1:6">
      <c r="A22" s="92">
        <v>39661</v>
      </c>
      <c r="B22" s="93">
        <v>0.85</v>
      </c>
      <c r="C22" s="94">
        <v>192930.79</v>
      </c>
      <c r="D22" s="93">
        <v>483.08</v>
      </c>
      <c r="E22" s="93">
        <v>111.07</v>
      </c>
      <c r="F22"/>
    </row>
    <row r="23" spans="1:6">
      <c r="A23" s="95">
        <v>39630</v>
      </c>
      <c r="B23" s="96">
        <v>1.1399999999999999</v>
      </c>
      <c r="C23" s="97">
        <v>191308.01</v>
      </c>
      <c r="D23" s="96">
        <v>479.02</v>
      </c>
      <c r="E23" s="96">
        <v>110.14</v>
      </c>
      <c r="F23"/>
    </row>
    <row r="24" spans="1:6">
      <c r="A24" s="92">
        <v>39600</v>
      </c>
      <c r="B24" s="93">
        <v>0.1</v>
      </c>
      <c r="C24" s="94">
        <v>189144.3</v>
      </c>
      <c r="D24" s="93">
        <v>473.6</v>
      </c>
      <c r="E24" s="93">
        <v>108.89</v>
      </c>
      <c r="F24"/>
    </row>
    <row r="25" spans="1:6">
      <c r="A25" s="95">
        <v>39569</v>
      </c>
      <c r="B25" s="96">
        <v>0.67</v>
      </c>
      <c r="C25" s="97">
        <v>188963.99</v>
      </c>
      <c r="D25" s="96">
        <v>473.15</v>
      </c>
      <c r="E25" s="96">
        <v>108.79</v>
      </c>
      <c r="F25"/>
    </row>
    <row r="26" spans="1:6">
      <c r="A26" s="92">
        <v>39539</v>
      </c>
      <c r="B26" s="93">
        <v>1.46</v>
      </c>
      <c r="C26" s="94">
        <v>187701.83</v>
      </c>
      <c r="D26" s="93">
        <v>469.99</v>
      </c>
      <c r="E26" s="93">
        <v>108.06</v>
      </c>
      <c r="F26"/>
    </row>
    <row r="27" spans="1:6">
      <c r="A27" s="95">
        <v>39508</v>
      </c>
      <c r="B27" s="96">
        <v>0.28999999999999998</v>
      </c>
      <c r="C27" s="97">
        <v>184997.19</v>
      </c>
      <c r="D27" s="96">
        <v>463.22</v>
      </c>
      <c r="E27" s="96">
        <v>106.5</v>
      </c>
      <c r="F27"/>
    </row>
    <row r="28" spans="1:6">
      <c r="A28" s="92">
        <v>39479</v>
      </c>
      <c r="B28" s="93">
        <v>-0.2</v>
      </c>
      <c r="C28" s="94">
        <v>184456.26</v>
      </c>
      <c r="D28" s="93">
        <v>461.86</v>
      </c>
      <c r="E28" s="93">
        <v>106.19</v>
      </c>
      <c r="F28"/>
    </row>
    <row r="29" spans="1:6">
      <c r="A29" s="95">
        <v>39448</v>
      </c>
      <c r="B29" s="96">
        <v>0</v>
      </c>
      <c r="C29" s="97">
        <v>184816.88</v>
      </c>
      <c r="D29" s="96">
        <v>462.77</v>
      </c>
      <c r="E29" s="96">
        <v>106.4</v>
      </c>
      <c r="F29"/>
    </row>
    <row r="30" spans="1:6">
      <c r="A30" s="92">
        <v>39417</v>
      </c>
      <c r="B30" s="93">
        <v>0.59</v>
      </c>
      <c r="C30" s="94">
        <v>184816.88</v>
      </c>
      <c r="D30" s="93">
        <v>462.77</v>
      </c>
      <c r="E30" s="93">
        <v>106.4</v>
      </c>
      <c r="F30"/>
    </row>
    <row r="31" spans="1:6">
      <c r="A31" s="95">
        <v>39387</v>
      </c>
      <c r="B31" s="96">
        <v>0.39</v>
      </c>
      <c r="C31" s="97">
        <v>183735.02</v>
      </c>
      <c r="D31" s="96">
        <v>460.06</v>
      </c>
      <c r="E31" s="96">
        <v>105.78</v>
      </c>
      <c r="F31"/>
    </row>
    <row r="32" spans="1:6">
      <c r="A32" s="92">
        <v>39356</v>
      </c>
      <c r="B32" s="93">
        <v>0.1</v>
      </c>
      <c r="C32" s="94">
        <v>183013.79</v>
      </c>
      <c r="D32" s="93">
        <v>458.25</v>
      </c>
      <c r="E32" s="93">
        <v>105.36</v>
      </c>
      <c r="F32"/>
    </row>
    <row r="33" spans="1:6">
      <c r="A33" s="95">
        <v>39326</v>
      </c>
      <c r="B33" s="96">
        <v>-0.49</v>
      </c>
      <c r="C33" s="97">
        <v>182833.48</v>
      </c>
      <c r="D33" s="96">
        <v>457.8</v>
      </c>
      <c r="E33" s="96">
        <v>105.26</v>
      </c>
      <c r="F33"/>
    </row>
    <row r="34" spans="1:6">
      <c r="A34" s="92">
        <v>39295</v>
      </c>
      <c r="B34" s="93">
        <v>0.69</v>
      </c>
      <c r="C34" s="94">
        <v>183735.03</v>
      </c>
      <c r="D34" s="93">
        <v>460.06</v>
      </c>
      <c r="E34" s="93">
        <v>105.78</v>
      </c>
      <c r="F34"/>
    </row>
    <row r="35" spans="1:6">
      <c r="A35" s="95">
        <v>39264</v>
      </c>
      <c r="B35" s="96">
        <v>1.1000000000000001</v>
      </c>
      <c r="C35" s="97">
        <v>182472.86</v>
      </c>
      <c r="D35" s="96">
        <v>456.9</v>
      </c>
      <c r="E35" s="96">
        <v>105.05</v>
      </c>
      <c r="F35"/>
    </row>
    <row r="36" spans="1:6">
      <c r="A36" s="92">
        <v>39234</v>
      </c>
      <c r="B36" s="93">
        <v>0.7</v>
      </c>
      <c r="C36" s="94">
        <v>180489.46</v>
      </c>
      <c r="D36" s="93">
        <v>451.93</v>
      </c>
      <c r="E36" s="93">
        <v>103.91</v>
      </c>
      <c r="F36"/>
    </row>
    <row r="37" spans="1:6">
      <c r="A37" s="95">
        <v>39203</v>
      </c>
      <c r="B37" s="96">
        <v>0</v>
      </c>
      <c r="C37" s="97">
        <v>179227.3</v>
      </c>
      <c r="D37" s="96">
        <v>448.77</v>
      </c>
      <c r="E37" s="96">
        <v>103.18</v>
      </c>
      <c r="F37"/>
    </row>
    <row r="38" spans="1:6">
      <c r="A38" s="92">
        <v>39173</v>
      </c>
      <c r="B38" s="93">
        <v>0.51</v>
      </c>
      <c r="C38" s="94">
        <v>179227.3</v>
      </c>
      <c r="D38" s="93">
        <v>448.77</v>
      </c>
      <c r="E38" s="93">
        <v>103.18</v>
      </c>
      <c r="F38"/>
    </row>
    <row r="39" spans="1:6">
      <c r="A39" s="95">
        <v>39142</v>
      </c>
      <c r="B39" s="96">
        <v>0.2</v>
      </c>
      <c r="C39" s="97">
        <v>178325.75</v>
      </c>
      <c r="D39" s="96">
        <v>446.51</v>
      </c>
      <c r="E39" s="96">
        <v>102.66</v>
      </c>
      <c r="F39"/>
    </row>
    <row r="40" spans="1:6">
      <c r="A40" s="92">
        <v>39114</v>
      </c>
      <c r="B40" s="93">
        <v>-0.3</v>
      </c>
      <c r="C40" s="94">
        <v>177965.13</v>
      </c>
      <c r="D40" s="93">
        <v>445.61</v>
      </c>
      <c r="E40" s="93">
        <v>102.45</v>
      </c>
      <c r="F40"/>
    </row>
    <row r="41" spans="1:6">
      <c r="A41" s="95">
        <v>39083</v>
      </c>
      <c r="B41" s="96">
        <v>-0.13</v>
      </c>
      <c r="C41" s="97">
        <v>178506.06</v>
      </c>
      <c r="D41" s="96">
        <v>446.96</v>
      </c>
      <c r="E41" s="96">
        <v>102.77</v>
      </c>
      <c r="F41"/>
    </row>
    <row r="42" spans="1:6">
      <c r="A42" s="92">
        <v>39052</v>
      </c>
      <c r="B42" s="93">
        <v>0</v>
      </c>
      <c r="C42" s="94">
        <v>178745.78</v>
      </c>
      <c r="D42" s="93">
        <v>447.56</v>
      </c>
      <c r="E42" s="93">
        <v>102.9</v>
      </c>
      <c r="F42"/>
    </row>
    <row r="43" spans="1:6">
      <c r="A43" s="95">
        <v>39022</v>
      </c>
      <c r="B43" s="96">
        <v>-0.19</v>
      </c>
      <c r="C43" s="97">
        <v>178745.78</v>
      </c>
      <c r="D43" s="96">
        <v>447.56</v>
      </c>
      <c r="E43" s="96">
        <v>102.9</v>
      </c>
      <c r="F43"/>
    </row>
    <row r="44" spans="1:6">
      <c r="A44" s="92">
        <v>38991</v>
      </c>
      <c r="B44" s="93">
        <v>-0.67</v>
      </c>
      <c r="C44" s="94">
        <v>179093.19</v>
      </c>
      <c r="D44" s="93">
        <v>448.43</v>
      </c>
      <c r="E44" s="93">
        <v>103.1</v>
      </c>
      <c r="F44"/>
    </row>
    <row r="45" spans="1:6">
      <c r="A45" s="95">
        <v>38961</v>
      </c>
      <c r="B45" s="96">
        <v>-0.86</v>
      </c>
      <c r="C45" s="97">
        <v>180309.15</v>
      </c>
      <c r="D45" s="96">
        <v>451.48</v>
      </c>
      <c r="E45" s="96">
        <v>103.8</v>
      </c>
      <c r="F45"/>
    </row>
    <row r="46" spans="1:6">
      <c r="A46" s="92">
        <v>38930</v>
      </c>
      <c r="B46" s="93">
        <v>0</v>
      </c>
      <c r="C46" s="94">
        <v>181872.53</v>
      </c>
      <c r="D46" s="93">
        <v>455.39</v>
      </c>
      <c r="E46" s="93">
        <v>104.7</v>
      </c>
      <c r="F46"/>
    </row>
    <row r="47" spans="1:6">
      <c r="A47" s="95">
        <v>38899</v>
      </c>
      <c r="B47" s="96">
        <v>0.1</v>
      </c>
      <c r="C47" s="97">
        <v>181872.53</v>
      </c>
      <c r="D47" s="96">
        <v>455.39</v>
      </c>
      <c r="E47" s="96">
        <v>104.7</v>
      </c>
      <c r="F47"/>
    </row>
    <row r="48" spans="1:6">
      <c r="A48" s="92">
        <v>38869</v>
      </c>
      <c r="B48" s="93">
        <v>0.1</v>
      </c>
      <c r="C48" s="94">
        <v>181698.82</v>
      </c>
      <c r="D48" s="93">
        <v>454.96</v>
      </c>
      <c r="E48" s="93">
        <v>104.6</v>
      </c>
      <c r="F48"/>
    </row>
    <row r="49" spans="1:6">
      <c r="A49" s="95">
        <v>38838</v>
      </c>
      <c r="B49" s="96">
        <v>0</v>
      </c>
      <c r="C49" s="97">
        <v>181525.11</v>
      </c>
      <c r="D49" s="96">
        <v>454.52</v>
      </c>
      <c r="E49" s="96">
        <v>104.5</v>
      </c>
      <c r="F49"/>
    </row>
    <row r="50" spans="1:6">
      <c r="A50" s="92">
        <v>38808</v>
      </c>
      <c r="B50" s="93">
        <v>0.87</v>
      </c>
      <c r="C50" s="94">
        <v>181525.11</v>
      </c>
      <c r="D50" s="93">
        <v>454.52</v>
      </c>
      <c r="E50" s="93">
        <v>104.5</v>
      </c>
      <c r="F50"/>
    </row>
    <row r="51" spans="1:6">
      <c r="A51" s="95">
        <v>38777</v>
      </c>
      <c r="B51" s="96">
        <v>0.28999999999999998</v>
      </c>
      <c r="C51" s="97">
        <v>179961.73</v>
      </c>
      <c r="D51" s="96">
        <v>450.61</v>
      </c>
      <c r="E51" s="96">
        <v>103.6</v>
      </c>
      <c r="F51"/>
    </row>
    <row r="52" spans="1:6">
      <c r="A52" s="92">
        <v>38749</v>
      </c>
      <c r="B52" s="93">
        <v>0.57999999999999996</v>
      </c>
      <c r="C52" s="94">
        <v>179440.61</v>
      </c>
      <c r="D52" s="93">
        <v>449.3</v>
      </c>
      <c r="E52" s="93">
        <v>103.3</v>
      </c>
      <c r="F52"/>
    </row>
    <row r="53" spans="1:6">
      <c r="A53" s="95">
        <v>38718</v>
      </c>
      <c r="B53" s="96">
        <v>-0.28999999999999998</v>
      </c>
      <c r="C53" s="97">
        <v>178398.36</v>
      </c>
      <c r="D53" s="96">
        <v>446.69</v>
      </c>
      <c r="E53" s="96">
        <v>102.7</v>
      </c>
      <c r="F53"/>
    </row>
    <row r="54" spans="1:6">
      <c r="A54" s="92">
        <v>38687</v>
      </c>
      <c r="B54" s="93">
        <v>-0.19</v>
      </c>
      <c r="C54" s="94">
        <v>178919.49</v>
      </c>
      <c r="D54" s="93">
        <v>448</v>
      </c>
      <c r="E54" s="93">
        <v>103</v>
      </c>
      <c r="F54"/>
    </row>
    <row r="55" spans="1:6">
      <c r="A55" s="95">
        <v>38657</v>
      </c>
      <c r="B55" s="96">
        <v>-0.1</v>
      </c>
      <c r="C55" s="97">
        <v>179266.9</v>
      </c>
      <c r="D55" s="96">
        <v>448.87</v>
      </c>
      <c r="E55" s="96">
        <v>103.2</v>
      </c>
      <c r="F55"/>
    </row>
    <row r="56" spans="1:6">
      <c r="A56" s="92">
        <v>38626</v>
      </c>
      <c r="B56" s="93">
        <v>0.78</v>
      </c>
      <c r="C56" s="94">
        <v>179440.61</v>
      </c>
      <c r="D56" s="93">
        <v>449.3</v>
      </c>
      <c r="E56" s="93">
        <v>103.3</v>
      </c>
      <c r="F56"/>
    </row>
    <row r="57" spans="1:6">
      <c r="A57" s="95">
        <v>38596</v>
      </c>
      <c r="B57" s="96">
        <v>0.1</v>
      </c>
      <c r="C57" s="97">
        <v>178050.94</v>
      </c>
      <c r="D57" s="96">
        <v>445.82</v>
      </c>
      <c r="E57" s="96">
        <v>102.5</v>
      </c>
      <c r="F57"/>
    </row>
    <row r="58" spans="1:6">
      <c r="A58" s="92">
        <v>38565</v>
      </c>
      <c r="B58" s="93">
        <v>0.2</v>
      </c>
      <c r="C58" s="94">
        <v>177877.24</v>
      </c>
      <c r="D58" s="93">
        <v>445.39</v>
      </c>
      <c r="E58" s="93">
        <v>102.4</v>
      </c>
      <c r="F58"/>
    </row>
    <row r="59" spans="1:6">
      <c r="A59" s="95">
        <v>38534</v>
      </c>
      <c r="B59" s="96">
        <v>1.0900000000000001</v>
      </c>
      <c r="C59" s="97">
        <v>177529.82</v>
      </c>
      <c r="D59" s="96">
        <v>444.52</v>
      </c>
      <c r="E59" s="96">
        <v>102.2</v>
      </c>
      <c r="F59"/>
    </row>
    <row r="60" spans="1:6">
      <c r="A60" s="92">
        <v>38504</v>
      </c>
      <c r="B60" s="93">
        <v>0.1</v>
      </c>
      <c r="C60" s="94">
        <v>175619.03</v>
      </c>
      <c r="D60" s="93">
        <v>439.73</v>
      </c>
      <c r="E60" s="93">
        <v>101.1</v>
      </c>
      <c r="F60"/>
    </row>
    <row r="61" spans="1:6">
      <c r="A61" s="95">
        <v>38473</v>
      </c>
      <c r="B61" s="96">
        <v>0.3</v>
      </c>
      <c r="C61" s="97">
        <v>175445.32</v>
      </c>
      <c r="D61" s="96">
        <v>439.3</v>
      </c>
      <c r="E61" s="96">
        <v>101</v>
      </c>
      <c r="F61"/>
    </row>
    <row r="62" spans="1:6">
      <c r="A62" s="92">
        <v>38443</v>
      </c>
      <c r="B62" s="93">
        <v>0.7</v>
      </c>
      <c r="C62" s="94">
        <v>174924.2</v>
      </c>
      <c r="D62" s="93">
        <v>437.99</v>
      </c>
      <c r="E62" s="93">
        <v>100.7</v>
      </c>
      <c r="F62"/>
    </row>
    <row r="63" spans="1:6">
      <c r="A63" s="95">
        <v>38412</v>
      </c>
      <c r="B63" s="96">
        <v>-0.2</v>
      </c>
      <c r="C63" s="97">
        <v>173708.24</v>
      </c>
      <c r="D63" s="96">
        <v>434.95</v>
      </c>
      <c r="E63" s="96">
        <v>100</v>
      </c>
      <c r="F63"/>
    </row>
    <row r="64" spans="1:6">
      <c r="A64" s="92">
        <v>38384</v>
      </c>
      <c r="B64" s="93">
        <v>0.2</v>
      </c>
      <c r="C64" s="94">
        <v>174055.65</v>
      </c>
      <c r="D64" s="93">
        <v>435.82</v>
      </c>
      <c r="E64" s="93">
        <v>100.2</v>
      </c>
      <c r="F64"/>
    </row>
    <row r="65" spans="1:6">
      <c r="A65" s="95">
        <v>38353</v>
      </c>
      <c r="B65" s="96">
        <v>-0.6</v>
      </c>
      <c r="C65" s="97">
        <v>173708.24</v>
      </c>
      <c r="D65" s="96">
        <v>434.95</v>
      </c>
      <c r="E65" s="96">
        <v>100</v>
      </c>
      <c r="F65"/>
    </row>
    <row r="66" spans="1:6">
      <c r="A66" s="92">
        <v>38322</v>
      </c>
      <c r="B66" s="93">
        <v>0.1</v>
      </c>
      <c r="C66" s="94">
        <v>174750.49</v>
      </c>
      <c r="D66" s="93">
        <v>437.56</v>
      </c>
      <c r="E66" s="93">
        <v>100.6</v>
      </c>
      <c r="F66"/>
    </row>
    <row r="67" spans="1:6">
      <c r="A67" s="95">
        <v>38292</v>
      </c>
      <c r="B67" s="96">
        <v>-0.1</v>
      </c>
      <c r="C67" s="97">
        <v>174576.78</v>
      </c>
      <c r="D67" s="96">
        <v>437.12</v>
      </c>
      <c r="E67" s="96">
        <v>100.5</v>
      </c>
      <c r="F67"/>
    </row>
    <row r="68" spans="1:6">
      <c r="A68" s="92">
        <v>38261</v>
      </c>
      <c r="B68" s="93">
        <v>0</v>
      </c>
      <c r="C68" s="94">
        <v>174750.49</v>
      </c>
      <c r="D68" s="93">
        <v>437.56</v>
      </c>
      <c r="E68" s="93">
        <v>100.6</v>
      </c>
      <c r="F68"/>
    </row>
    <row r="69" spans="1:6">
      <c r="A69" s="95">
        <v>38231</v>
      </c>
      <c r="B69" s="96">
        <v>-0.2</v>
      </c>
      <c r="C69" s="97">
        <v>174750.49</v>
      </c>
      <c r="D69" s="96">
        <v>437.56</v>
      </c>
      <c r="E69" s="96">
        <v>100.6</v>
      </c>
      <c r="F69"/>
    </row>
    <row r="70" spans="1:6">
      <c r="A70" s="92">
        <v>38200</v>
      </c>
      <c r="B70" s="93">
        <v>0.2</v>
      </c>
      <c r="C70" s="94">
        <v>175097.9</v>
      </c>
      <c r="D70" s="93">
        <v>438.43</v>
      </c>
      <c r="E70" s="93">
        <v>100.8</v>
      </c>
      <c r="F70"/>
    </row>
    <row r="71" spans="1:6">
      <c r="A71" s="95">
        <v>38169</v>
      </c>
      <c r="B71" s="96">
        <v>-0.2</v>
      </c>
      <c r="C71" s="97">
        <v>174750.49</v>
      </c>
      <c r="D71" s="96">
        <v>437.56</v>
      </c>
      <c r="E71" s="96">
        <v>100.6</v>
      </c>
      <c r="F71"/>
    </row>
    <row r="72" spans="1:6">
      <c r="A72" s="92">
        <v>38139</v>
      </c>
      <c r="B72" s="93">
        <v>0</v>
      </c>
      <c r="C72" s="94">
        <v>175097.9</v>
      </c>
      <c r="D72" s="93">
        <v>438.43</v>
      </c>
      <c r="E72" s="93">
        <v>100.8</v>
      </c>
      <c r="F72"/>
    </row>
    <row r="73" spans="1:6">
      <c r="A73" s="95">
        <v>38108</v>
      </c>
      <c r="B73" s="96">
        <v>0.4</v>
      </c>
      <c r="C73" s="97">
        <v>175097.9</v>
      </c>
      <c r="D73" s="96">
        <v>438.43</v>
      </c>
      <c r="E73" s="96">
        <v>100.8</v>
      </c>
      <c r="F73"/>
    </row>
    <row r="74" spans="1:6">
      <c r="A74" s="92">
        <v>38078</v>
      </c>
      <c r="B74" s="93">
        <v>1.1100000000000001</v>
      </c>
      <c r="C74" s="94">
        <v>174403.07</v>
      </c>
      <c r="D74" s="93">
        <v>436.69</v>
      </c>
      <c r="E74" s="93">
        <v>100.4</v>
      </c>
      <c r="F74"/>
    </row>
    <row r="75" spans="1:6">
      <c r="A75" s="95">
        <v>38047</v>
      </c>
      <c r="B75" s="96">
        <v>-0.1</v>
      </c>
      <c r="C75" s="97">
        <v>172492.28</v>
      </c>
      <c r="D75" s="96">
        <v>431.91</v>
      </c>
      <c r="E75" s="96">
        <v>99.3</v>
      </c>
      <c r="F75"/>
    </row>
    <row r="76" spans="1:6">
      <c r="A76" s="92">
        <v>38018</v>
      </c>
      <c r="B76" s="93">
        <v>0.2</v>
      </c>
      <c r="C76" s="94">
        <v>172665.99</v>
      </c>
      <c r="D76" s="93">
        <v>432.34</v>
      </c>
      <c r="E76" s="93">
        <v>99.4</v>
      </c>
      <c r="F76"/>
    </row>
    <row r="77" spans="1:6">
      <c r="A77" s="95">
        <v>37987</v>
      </c>
      <c r="B77" s="96">
        <v>-0.2</v>
      </c>
      <c r="C77" s="97">
        <v>172318.57</v>
      </c>
      <c r="D77" s="96">
        <v>431.47</v>
      </c>
      <c r="E77" s="96">
        <v>99.2</v>
      </c>
      <c r="F77"/>
    </row>
    <row r="78" spans="1:6">
      <c r="A78" s="92">
        <v>37956</v>
      </c>
      <c r="B78" s="93">
        <v>-0.2</v>
      </c>
      <c r="C78" s="94">
        <v>172665.99</v>
      </c>
      <c r="D78" s="93">
        <v>432.34</v>
      </c>
      <c r="E78" s="93">
        <v>99.4</v>
      </c>
      <c r="F78"/>
    </row>
    <row r="79" spans="1:6">
      <c r="A79" s="95">
        <v>37926</v>
      </c>
      <c r="B79" s="96">
        <v>-0.2</v>
      </c>
      <c r="C79" s="97">
        <v>173013.41</v>
      </c>
      <c r="D79" s="96">
        <v>433.21</v>
      </c>
      <c r="E79" s="96">
        <v>99.6</v>
      </c>
      <c r="F79"/>
    </row>
    <row r="80" spans="1:6">
      <c r="A80" s="92">
        <v>37895</v>
      </c>
      <c r="B80" s="93">
        <v>0</v>
      </c>
      <c r="C80" s="94">
        <v>173360.82</v>
      </c>
      <c r="D80" s="93">
        <v>434.08</v>
      </c>
      <c r="E80" s="93">
        <v>99.8</v>
      </c>
      <c r="F80"/>
    </row>
    <row r="81" spans="1:6">
      <c r="A81" s="95">
        <v>37865</v>
      </c>
      <c r="B81" s="96">
        <v>-0.5</v>
      </c>
      <c r="C81" s="97">
        <v>173360.82</v>
      </c>
      <c r="D81" s="96">
        <v>434.08</v>
      </c>
      <c r="E81" s="96">
        <v>99.8</v>
      </c>
      <c r="F81"/>
    </row>
    <row r="82" spans="1:6">
      <c r="A82" s="92">
        <v>37834</v>
      </c>
      <c r="B82" s="93">
        <v>0.2</v>
      </c>
      <c r="C82" s="94">
        <v>174229.37</v>
      </c>
      <c r="D82" s="93">
        <v>436.25</v>
      </c>
      <c r="E82" s="93">
        <v>100.3</v>
      </c>
      <c r="F82"/>
    </row>
    <row r="83" spans="1:6">
      <c r="A83" s="95">
        <v>37803</v>
      </c>
      <c r="B83" s="96">
        <v>-0.69</v>
      </c>
      <c r="C83" s="97">
        <v>173881.95</v>
      </c>
      <c r="D83" s="96">
        <v>435.38</v>
      </c>
      <c r="E83" s="96">
        <v>100.1</v>
      </c>
      <c r="F83"/>
    </row>
    <row r="84" spans="1:6">
      <c r="A84" s="92">
        <v>37773</v>
      </c>
      <c r="B84" s="93">
        <v>-0.59</v>
      </c>
      <c r="C84" s="94">
        <v>175097.9</v>
      </c>
      <c r="D84" s="93">
        <v>438.43</v>
      </c>
      <c r="E84" s="93">
        <v>100.8</v>
      </c>
      <c r="F84"/>
    </row>
    <row r="85" spans="1:6">
      <c r="A85" s="95">
        <v>37742</v>
      </c>
      <c r="B85" s="96">
        <v>-0.49</v>
      </c>
      <c r="C85" s="97">
        <v>176140.15</v>
      </c>
      <c r="D85" s="96">
        <v>441.04</v>
      </c>
      <c r="E85" s="96">
        <v>101.4</v>
      </c>
      <c r="F85"/>
    </row>
    <row r="86" spans="1:6">
      <c r="A86" s="92">
        <v>37712</v>
      </c>
      <c r="B86" s="93">
        <v>-0.2</v>
      </c>
      <c r="C86" s="94">
        <v>177008.69</v>
      </c>
      <c r="D86" s="93">
        <v>443.21</v>
      </c>
      <c r="E86" s="93">
        <v>101.9</v>
      </c>
      <c r="F86"/>
    </row>
    <row r="87" spans="1:6">
      <c r="A87" s="95">
        <v>37681</v>
      </c>
      <c r="B87" s="96">
        <v>0.2</v>
      </c>
      <c r="C87" s="97">
        <v>177356.11</v>
      </c>
      <c r="D87" s="96">
        <v>444.08</v>
      </c>
      <c r="E87" s="96">
        <v>102.1</v>
      </c>
      <c r="F87"/>
    </row>
    <row r="88" spans="1:6">
      <c r="A88" s="92">
        <v>37653</v>
      </c>
      <c r="B88" s="93">
        <v>0.39</v>
      </c>
      <c r="C88" s="94">
        <v>177008.7</v>
      </c>
      <c r="D88" s="93">
        <v>443.21</v>
      </c>
      <c r="E88" s="93">
        <v>101.9</v>
      </c>
      <c r="F88"/>
    </row>
    <row r="89" spans="1:6">
      <c r="A89" s="95">
        <v>37622</v>
      </c>
      <c r="B89" s="96">
        <v>0.19</v>
      </c>
      <c r="C89" s="97">
        <v>176313.86</v>
      </c>
      <c r="D89" s="96">
        <v>441.47</v>
      </c>
      <c r="E89" s="96">
        <v>101.5</v>
      </c>
      <c r="F89"/>
    </row>
    <row r="90" spans="1:6">
      <c r="A90" s="92">
        <v>37591</v>
      </c>
      <c r="B90" s="93">
        <v>-0.28000000000000003</v>
      </c>
      <c r="C90" s="94">
        <v>175985.31</v>
      </c>
      <c r="D90" s="93">
        <v>440.65</v>
      </c>
      <c r="E90" s="93">
        <v>108.2</v>
      </c>
      <c r="F90"/>
    </row>
    <row r="91" spans="1:6">
      <c r="A91" s="95">
        <v>37561</v>
      </c>
      <c r="B91" s="96">
        <v>-0.82</v>
      </c>
      <c r="C91" s="97">
        <v>176473.26</v>
      </c>
      <c r="D91" s="96">
        <v>441.87</v>
      </c>
      <c r="E91" s="96">
        <v>108.5</v>
      </c>
      <c r="F91"/>
    </row>
    <row r="92" spans="1:6">
      <c r="A92" s="92">
        <v>37530</v>
      </c>
      <c r="B92" s="93">
        <v>0.64</v>
      </c>
      <c r="C92" s="94">
        <v>177937.09</v>
      </c>
      <c r="D92" s="93">
        <v>445.54</v>
      </c>
      <c r="E92" s="93">
        <v>109.4</v>
      </c>
      <c r="F92"/>
    </row>
    <row r="93" spans="1:6">
      <c r="A93" s="95">
        <v>37500</v>
      </c>
      <c r="B93" s="96">
        <v>0.37</v>
      </c>
      <c r="C93" s="97">
        <v>176798.56</v>
      </c>
      <c r="D93" s="96">
        <v>442.69</v>
      </c>
      <c r="E93" s="96">
        <v>108.7</v>
      </c>
      <c r="F93"/>
    </row>
    <row r="94" spans="1:6">
      <c r="A94" s="92">
        <v>37469</v>
      </c>
      <c r="B94" s="93">
        <v>-0.37</v>
      </c>
      <c r="C94" s="94">
        <v>176147.96</v>
      </c>
      <c r="D94" s="93">
        <v>441.06</v>
      </c>
      <c r="E94" s="93">
        <v>108.3</v>
      </c>
      <c r="F94"/>
    </row>
    <row r="95" spans="1:6">
      <c r="A95" s="95">
        <v>37438</v>
      </c>
      <c r="B95" s="96">
        <v>0.65</v>
      </c>
      <c r="C95" s="97">
        <v>176798.55</v>
      </c>
      <c r="D95" s="96">
        <v>442.69</v>
      </c>
      <c r="E95" s="96">
        <v>108.7</v>
      </c>
      <c r="F95"/>
    </row>
    <row r="96" spans="1:6">
      <c r="A96" s="92">
        <v>37408</v>
      </c>
      <c r="B96" s="93">
        <v>1.31</v>
      </c>
      <c r="C96" s="94">
        <v>175660.02</v>
      </c>
      <c r="D96" s="93">
        <v>439.84</v>
      </c>
      <c r="E96" s="93">
        <v>108</v>
      </c>
      <c r="F96"/>
    </row>
    <row r="97" spans="1:6">
      <c r="A97" s="95">
        <v>37377</v>
      </c>
      <c r="B97" s="96">
        <v>0.95</v>
      </c>
      <c r="C97" s="97">
        <v>173382.94</v>
      </c>
      <c r="D97" s="96">
        <v>434.14</v>
      </c>
      <c r="E97" s="96">
        <v>106.6</v>
      </c>
      <c r="F97"/>
    </row>
    <row r="98" spans="1:6">
      <c r="A98" s="92">
        <v>37347</v>
      </c>
      <c r="B98" s="93">
        <v>1.54</v>
      </c>
      <c r="C98" s="94">
        <v>171756.46</v>
      </c>
      <c r="D98" s="93">
        <v>430.06</v>
      </c>
      <c r="E98" s="93">
        <v>105.6</v>
      </c>
      <c r="F98"/>
    </row>
    <row r="99" spans="1:6">
      <c r="A99" s="95">
        <v>37316</v>
      </c>
      <c r="B99" s="96">
        <v>0.48</v>
      </c>
      <c r="C99" s="97">
        <v>169154.09</v>
      </c>
      <c r="D99" s="96">
        <v>423.55</v>
      </c>
      <c r="E99" s="96">
        <v>104</v>
      </c>
      <c r="F99"/>
    </row>
    <row r="100" spans="1:6">
      <c r="A100" s="92">
        <v>37288</v>
      </c>
      <c r="B100" s="93">
        <v>0.78</v>
      </c>
      <c r="C100" s="94">
        <v>168340.85</v>
      </c>
      <c r="D100" s="93">
        <v>421.51</v>
      </c>
      <c r="E100" s="93">
        <v>103.5</v>
      </c>
      <c r="F100"/>
    </row>
    <row r="101" spans="1:6">
      <c r="A101" s="95">
        <v>37257</v>
      </c>
      <c r="B101" s="96">
        <v>1.08</v>
      </c>
      <c r="C101" s="97">
        <v>167039.66</v>
      </c>
      <c r="D101" s="96">
        <v>418.25</v>
      </c>
      <c r="E101" s="96">
        <v>102.7</v>
      </c>
      <c r="F101"/>
    </row>
    <row r="102" spans="1:6">
      <c r="A102" s="92">
        <v>37226</v>
      </c>
      <c r="B102" s="93">
        <v>-0.1</v>
      </c>
      <c r="C102" s="94">
        <v>165250.53</v>
      </c>
      <c r="D102" s="93">
        <v>413.77</v>
      </c>
      <c r="E102" s="93">
        <v>101.6</v>
      </c>
      <c r="F102"/>
    </row>
    <row r="103" spans="1:6">
      <c r="A103" s="95">
        <v>37196</v>
      </c>
      <c r="B103" s="96">
        <v>-0.59</v>
      </c>
      <c r="C103" s="97">
        <v>165413.18</v>
      </c>
      <c r="D103" s="96">
        <v>414.18</v>
      </c>
      <c r="E103" s="96">
        <v>101.7</v>
      </c>
      <c r="F103"/>
    </row>
    <row r="104" spans="1:6">
      <c r="A104" s="92">
        <v>37165</v>
      </c>
      <c r="B104" s="93">
        <v>0.1</v>
      </c>
      <c r="C104" s="94">
        <v>166389.07</v>
      </c>
      <c r="D104" s="93">
        <v>416.62</v>
      </c>
      <c r="E104" s="93">
        <v>102.3</v>
      </c>
      <c r="F104"/>
    </row>
    <row r="105" spans="1:6">
      <c r="A105" s="95">
        <v>37135</v>
      </c>
      <c r="B105" s="96">
        <v>0.2</v>
      </c>
      <c r="C105" s="97">
        <v>166226.42000000001</v>
      </c>
      <c r="D105" s="96">
        <v>416.22</v>
      </c>
      <c r="E105" s="96">
        <v>102.2</v>
      </c>
      <c r="F105"/>
    </row>
    <row r="106" spans="1:6">
      <c r="A106" s="92">
        <v>37104</v>
      </c>
      <c r="B106" s="93">
        <v>0.28999999999999998</v>
      </c>
      <c r="C106" s="94">
        <v>165901.13</v>
      </c>
      <c r="D106" s="93">
        <v>415.4</v>
      </c>
      <c r="E106" s="93">
        <v>102</v>
      </c>
      <c r="F106"/>
    </row>
    <row r="107" spans="1:6">
      <c r="A107" s="95">
        <v>37073</v>
      </c>
      <c r="B107" s="96">
        <v>0.39</v>
      </c>
      <c r="C107" s="97">
        <v>165413.18</v>
      </c>
      <c r="D107" s="96">
        <v>414.18</v>
      </c>
      <c r="E107" s="96">
        <v>101.7</v>
      </c>
      <c r="F107"/>
    </row>
    <row r="108" spans="1:6">
      <c r="A108" s="92">
        <v>37043</v>
      </c>
      <c r="B108" s="93">
        <v>0.3</v>
      </c>
      <c r="C108" s="94">
        <v>164762.59</v>
      </c>
      <c r="D108" s="93">
        <v>412.55</v>
      </c>
      <c r="E108" s="93">
        <v>101.3</v>
      </c>
      <c r="F108"/>
    </row>
    <row r="109" spans="1:6">
      <c r="A109" s="95">
        <v>37012</v>
      </c>
      <c r="B109" s="96">
        <v>0.4</v>
      </c>
      <c r="C109" s="97">
        <v>164274.64000000001</v>
      </c>
      <c r="D109" s="96">
        <v>411.33</v>
      </c>
      <c r="E109" s="96">
        <v>101</v>
      </c>
      <c r="F109"/>
    </row>
    <row r="110" spans="1:6">
      <c r="A110" s="92">
        <v>36982</v>
      </c>
      <c r="B110" s="93">
        <v>0.9</v>
      </c>
      <c r="C110" s="94">
        <v>163624.04999999999</v>
      </c>
      <c r="D110" s="93">
        <v>409.7</v>
      </c>
      <c r="E110" s="93">
        <v>100.6</v>
      </c>
      <c r="F110"/>
    </row>
    <row r="111" spans="1:6">
      <c r="A111" s="95">
        <v>36951</v>
      </c>
      <c r="B111" s="96">
        <v>0.2</v>
      </c>
      <c r="C111" s="97">
        <v>162160.22</v>
      </c>
      <c r="D111" s="96">
        <v>406.03</v>
      </c>
      <c r="E111" s="96">
        <v>99.7</v>
      </c>
      <c r="F111"/>
    </row>
    <row r="112" spans="1:6">
      <c r="A112" s="92">
        <v>36923</v>
      </c>
      <c r="B112" s="93">
        <v>-0.1</v>
      </c>
      <c r="C112" s="94">
        <v>161834.92000000001</v>
      </c>
      <c r="D112" s="93">
        <v>405.22</v>
      </c>
      <c r="E112" s="93">
        <v>99.5</v>
      </c>
      <c r="F112"/>
    </row>
    <row r="113" spans="1:6">
      <c r="A113" s="95">
        <v>36892</v>
      </c>
      <c r="B113" s="96">
        <v>-0.59</v>
      </c>
      <c r="C113" s="97">
        <v>161997.57</v>
      </c>
      <c r="D113" s="96">
        <v>405.63</v>
      </c>
      <c r="E113" s="96">
        <v>99.6</v>
      </c>
      <c r="F113"/>
    </row>
    <row r="114" spans="1:6">
      <c r="A114" s="92">
        <v>36861</v>
      </c>
      <c r="B114" s="93">
        <v>-0.09</v>
      </c>
      <c r="C114" s="94">
        <v>162953.89000000001</v>
      </c>
      <c r="D114" s="93">
        <v>408.02</v>
      </c>
      <c r="E114" s="93">
        <v>106.6</v>
      </c>
      <c r="F114"/>
    </row>
    <row r="115" spans="1:6">
      <c r="A115" s="95">
        <v>36831</v>
      </c>
      <c r="B115" s="96">
        <v>0</v>
      </c>
      <c r="C115" s="97">
        <v>163106.76</v>
      </c>
      <c r="D115" s="96">
        <v>408.4</v>
      </c>
      <c r="E115" s="96">
        <v>106.7</v>
      </c>
      <c r="F115"/>
    </row>
    <row r="116" spans="1:6">
      <c r="A116" s="92">
        <v>36800</v>
      </c>
      <c r="B116" s="93">
        <v>0.56999999999999995</v>
      </c>
      <c r="C116" s="94">
        <v>163106.76</v>
      </c>
      <c r="D116" s="93">
        <v>408.4</v>
      </c>
      <c r="E116" s="93">
        <v>106.7</v>
      </c>
      <c r="F116"/>
    </row>
    <row r="117" spans="1:6">
      <c r="A117" s="95">
        <v>36770</v>
      </c>
      <c r="B117" s="96">
        <v>-0.56000000000000005</v>
      </c>
      <c r="C117" s="97">
        <v>162189.57</v>
      </c>
      <c r="D117" s="96">
        <v>406.11</v>
      </c>
      <c r="E117" s="96">
        <v>106.1</v>
      </c>
      <c r="F117"/>
    </row>
    <row r="118" spans="1:6">
      <c r="A118" s="92">
        <v>36739</v>
      </c>
      <c r="B118" s="93">
        <v>-0.56000000000000005</v>
      </c>
      <c r="C118" s="94">
        <v>163106.76</v>
      </c>
      <c r="D118" s="93">
        <v>408.4</v>
      </c>
      <c r="E118" s="93">
        <v>106.7</v>
      </c>
      <c r="F118"/>
    </row>
    <row r="119" spans="1:6">
      <c r="A119" s="95">
        <v>36708</v>
      </c>
      <c r="B119" s="96">
        <v>0.28000000000000003</v>
      </c>
      <c r="C119" s="97">
        <v>164023.95000000001</v>
      </c>
      <c r="D119" s="96">
        <v>410.7</v>
      </c>
      <c r="E119" s="96">
        <v>107.3</v>
      </c>
      <c r="F119"/>
    </row>
    <row r="120" spans="1:6">
      <c r="A120" s="92">
        <v>36678</v>
      </c>
      <c r="B120" s="93">
        <v>0.28000000000000003</v>
      </c>
      <c r="C120" s="94">
        <v>163565.35</v>
      </c>
      <c r="D120" s="93">
        <v>409.55</v>
      </c>
      <c r="E120" s="93">
        <v>107</v>
      </c>
      <c r="F120"/>
    </row>
    <row r="121" spans="1:6">
      <c r="A121" s="95">
        <v>36647</v>
      </c>
      <c r="B121" s="96">
        <v>0.85</v>
      </c>
      <c r="C121" s="97">
        <v>163106.76</v>
      </c>
      <c r="D121" s="96">
        <v>408.4</v>
      </c>
      <c r="E121" s="96">
        <v>106.7</v>
      </c>
      <c r="F121"/>
    </row>
    <row r="122" spans="1:6">
      <c r="A122" s="92">
        <v>36617</v>
      </c>
      <c r="B122" s="93">
        <v>0.47</v>
      </c>
      <c r="C122" s="94">
        <v>161730.97</v>
      </c>
      <c r="D122" s="93">
        <v>404.96</v>
      </c>
      <c r="E122" s="93">
        <v>105.8</v>
      </c>
      <c r="F122"/>
    </row>
    <row r="123" spans="1:6">
      <c r="A123" s="95">
        <v>36586</v>
      </c>
      <c r="B123" s="96">
        <v>-0.28000000000000003</v>
      </c>
      <c r="C123" s="97">
        <v>160966.65</v>
      </c>
      <c r="D123" s="96">
        <v>403.05</v>
      </c>
      <c r="E123" s="96">
        <v>105.3</v>
      </c>
      <c r="F123"/>
    </row>
    <row r="124" spans="1:6">
      <c r="A124" s="92">
        <v>36557</v>
      </c>
      <c r="B124" s="93">
        <v>-0.47</v>
      </c>
      <c r="C124" s="94">
        <v>161425.24</v>
      </c>
      <c r="D124" s="93">
        <v>404.19</v>
      </c>
      <c r="E124" s="93">
        <v>105.6</v>
      </c>
      <c r="F124"/>
    </row>
    <row r="125" spans="1:6">
      <c r="A125" s="95">
        <v>36526</v>
      </c>
      <c r="B125" s="96">
        <v>-0.47</v>
      </c>
      <c r="C125" s="97">
        <v>162189.57</v>
      </c>
      <c r="D125" s="96">
        <v>406.11</v>
      </c>
      <c r="E125" s="96">
        <v>106.1</v>
      </c>
      <c r="F125"/>
    </row>
    <row r="126" spans="1:6">
      <c r="A126" s="92">
        <v>36495</v>
      </c>
      <c r="B126" s="93">
        <v>0</v>
      </c>
      <c r="C126" s="94">
        <v>162953.89000000001</v>
      </c>
      <c r="D126" s="93">
        <v>408.02</v>
      </c>
      <c r="E126" s="93">
        <v>106.6</v>
      </c>
      <c r="F126"/>
    </row>
    <row r="127" spans="1:6">
      <c r="A127" s="95">
        <v>36465</v>
      </c>
      <c r="B127" s="96">
        <v>-0.19</v>
      </c>
      <c r="C127" s="97">
        <v>162953.89000000001</v>
      </c>
      <c r="D127" s="96">
        <v>408.02</v>
      </c>
      <c r="E127" s="96">
        <v>106.6</v>
      </c>
      <c r="F127"/>
    </row>
    <row r="128" spans="1:6">
      <c r="A128" s="92">
        <v>36434</v>
      </c>
      <c r="B128" s="93">
        <v>0.66</v>
      </c>
      <c r="C128" s="94">
        <v>163259.62</v>
      </c>
      <c r="D128" s="93">
        <v>408.79</v>
      </c>
      <c r="E128" s="93">
        <v>106.8</v>
      </c>
      <c r="F128"/>
    </row>
    <row r="129" spans="1:6">
      <c r="A129" s="95">
        <v>36404</v>
      </c>
      <c r="B129" s="96">
        <v>0.47</v>
      </c>
      <c r="C129" s="97">
        <v>162189.57</v>
      </c>
      <c r="D129" s="96">
        <v>406.11</v>
      </c>
      <c r="E129" s="96">
        <v>106.1</v>
      </c>
      <c r="F129"/>
    </row>
    <row r="130" spans="1:6">
      <c r="A130" s="92">
        <v>36373</v>
      </c>
      <c r="B130" s="93">
        <v>0.48</v>
      </c>
      <c r="C130" s="94">
        <v>161425.24</v>
      </c>
      <c r="D130" s="93">
        <v>404.19</v>
      </c>
      <c r="E130" s="93">
        <v>105.6</v>
      </c>
      <c r="F130"/>
    </row>
    <row r="131" spans="1:6">
      <c r="A131" s="95">
        <v>36342</v>
      </c>
      <c r="B131" s="96">
        <v>0.28999999999999998</v>
      </c>
      <c r="C131" s="97">
        <v>160660.92000000001</v>
      </c>
      <c r="D131" s="96">
        <v>402.28</v>
      </c>
      <c r="E131" s="96">
        <v>105.1</v>
      </c>
      <c r="F131"/>
    </row>
    <row r="132" spans="1:6">
      <c r="A132" s="92">
        <v>36312</v>
      </c>
      <c r="B132" s="93">
        <v>0.28999999999999998</v>
      </c>
      <c r="C132" s="94">
        <v>160202.32999999999</v>
      </c>
      <c r="D132" s="93">
        <v>401.13</v>
      </c>
      <c r="E132" s="93">
        <v>104.8</v>
      </c>
      <c r="F132"/>
    </row>
    <row r="133" spans="1:6">
      <c r="A133" s="95">
        <v>36281</v>
      </c>
      <c r="B133" s="96">
        <v>0.48</v>
      </c>
      <c r="C133" s="97">
        <v>159743.73000000001</v>
      </c>
      <c r="D133" s="96">
        <v>399.98</v>
      </c>
      <c r="E133" s="96">
        <v>104.5</v>
      </c>
      <c r="F133"/>
    </row>
    <row r="134" spans="1:6">
      <c r="A134" s="92">
        <v>36251</v>
      </c>
      <c r="B134" s="93">
        <v>0.28999999999999998</v>
      </c>
      <c r="C134" s="94">
        <v>158979.41</v>
      </c>
      <c r="D134" s="93">
        <v>398.07</v>
      </c>
      <c r="E134" s="93">
        <v>104</v>
      </c>
      <c r="F134"/>
    </row>
    <row r="135" spans="1:6">
      <c r="A135" s="95">
        <v>36220</v>
      </c>
      <c r="B135" s="96">
        <v>-0.19</v>
      </c>
      <c r="C135" s="97">
        <v>158520.81</v>
      </c>
      <c r="D135" s="96">
        <v>396.92</v>
      </c>
      <c r="E135" s="96">
        <v>103.7</v>
      </c>
      <c r="F135"/>
    </row>
    <row r="136" spans="1:6">
      <c r="A136" s="92">
        <v>36192</v>
      </c>
      <c r="B136" s="93">
        <v>-0.76</v>
      </c>
      <c r="C136" s="94">
        <v>158826.54</v>
      </c>
      <c r="D136" s="93">
        <v>397.69</v>
      </c>
      <c r="E136" s="93">
        <v>103.9</v>
      </c>
      <c r="F136"/>
    </row>
    <row r="137" spans="1:6">
      <c r="A137" s="95">
        <v>36161</v>
      </c>
      <c r="B137" s="96">
        <v>-0.46</v>
      </c>
      <c r="C137" s="97">
        <v>160049.46</v>
      </c>
      <c r="D137" s="96">
        <v>400.75</v>
      </c>
      <c r="E137" s="96">
        <v>104.7</v>
      </c>
      <c r="F137"/>
    </row>
    <row r="138" spans="1:6">
      <c r="A138" s="92">
        <v>36130</v>
      </c>
      <c r="B138" s="93">
        <v>0.06</v>
      </c>
      <c r="C138" s="94">
        <v>160793.29</v>
      </c>
      <c r="D138" s="93">
        <v>402.61</v>
      </c>
      <c r="E138" s="93">
        <v>166.3</v>
      </c>
      <c r="F138"/>
    </row>
    <row r="139" spans="1:6">
      <c r="A139" s="95">
        <v>36100</v>
      </c>
      <c r="B139" s="96">
        <v>1.28</v>
      </c>
      <c r="C139" s="97">
        <v>160696.6</v>
      </c>
      <c r="D139" s="96">
        <v>402.37</v>
      </c>
      <c r="E139" s="96">
        <v>166.2</v>
      </c>
      <c r="F139"/>
    </row>
    <row r="140" spans="1:6">
      <c r="A140" s="92">
        <v>36069</v>
      </c>
      <c r="B140" s="93">
        <v>3.01</v>
      </c>
      <c r="C140" s="94">
        <v>158666.14000000001</v>
      </c>
      <c r="D140" s="93">
        <v>397.29</v>
      </c>
      <c r="E140" s="93">
        <v>164.1</v>
      </c>
      <c r="F140"/>
    </row>
    <row r="141" spans="1:6">
      <c r="A141" s="95">
        <v>36039</v>
      </c>
      <c r="B141" s="96">
        <v>1.4</v>
      </c>
      <c r="C141" s="97">
        <v>154025.07999999999</v>
      </c>
      <c r="D141" s="96">
        <v>385.67</v>
      </c>
      <c r="E141" s="96">
        <v>159.30000000000001</v>
      </c>
      <c r="F141"/>
    </row>
    <row r="142" spans="1:6">
      <c r="A142" s="92">
        <v>36008</v>
      </c>
      <c r="B142" s="93">
        <v>0.51</v>
      </c>
      <c r="C142" s="94">
        <v>151897.93</v>
      </c>
      <c r="D142" s="93">
        <v>380.34</v>
      </c>
      <c r="E142" s="93">
        <v>157.1</v>
      </c>
      <c r="F142"/>
    </row>
    <row r="143" spans="1:6">
      <c r="A143" s="95">
        <v>35977</v>
      </c>
      <c r="B143" s="96">
        <v>-0.13</v>
      </c>
      <c r="C143" s="97">
        <v>151124.42000000001</v>
      </c>
      <c r="D143" s="96">
        <v>378.4</v>
      </c>
      <c r="E143" s="96">
        <v>156.30000000000001</v>
      </c>
      <c r="F143"/>
    </row>
    <row r="144" spans="1:6">
      <c r="A144" s="92">
        <v>35947</v>
      </c>
      <c r="B144" s="93">
        <v>0.38</v>
      </c>
      <c r="C144" s="94">
        <v>151317.79999999999</v>
      </c>
      <c r="D144" s="93">
        <v>378.89</v>
      </c>
      <c r="E144" s="93">
        <v>156.5</v>
      </c>
      <c r="F144"/>
    </row>
    <row r="145" spans="1:6">
      <c r="A145" s="95">
        <v>35916</v>
      </c>
      <c r="B145" s="96">
        <v>0.39</v>
      </c>
      <c r="C145" s="97">
        <v>150737.66</v>
      </c>
      <c r="D145" s="96">
        <v>377.43</v>
      </c>
      <c r="E145" s="96">
        <v>155.9</v>
      </c>
      <c r="F145"/>
    </row>
    <row r="146" spans="1:6">
      <c r="A146" s="92">
        <v>35886</v>
      </c>
      <c r="B146" s="93">
        <v>1.37</v>
      </c>
      <c r="C146" s="94">
        <v>150157.53</v>
      </c>
      <c r="D146" s="93">
        <v>375.98</v>
      </c>
      <c r="E146" s="93">
        <v>155.30000000000001</v>
      </c>
      <c r="F146"/>
    </row>
    <row r="147" spans="1:6">
      <c r="A147" s="95">
        <v>35855</v>
      </c>
      <c r="B147" s="96">
        <v>-0.2</v>
      </c>
      <c r="C147" s="97">
        <v>148127.07</v>
      </c>
      <c r="D147" s="96">
        <v>370.9</v>
      </c>
      <c r="E147" s="96">
        <v>153.19999999999999</v>
      </c>
      <c r="F147"/>
    </row>
    <row r="148" spans="1:6">
      <c r="A148" s="92">
        <v>35827</v>
      </c>
      <c r="B148" s="93">
        <v>-7.0000000000000007E-2</v>
      </c>
      <c r="C148" s="94">
        <v>148417.14000000001</v>
      </c>
      <c r="D148" s="93">
        <v>371.62</v>
      </c>
      <c r="E148" s="93">
        <v>153.5</v>
      </c>
      <c r="F148"/>
    </row>
    <row r="149" spans="1:6">
      <c r="A149" s="95">
        <v>35796</v>
      </c>
      <c r="B149" s="96">
        <v>0.33</v>
      </c>
      <c r="C149" s="97">
        <v>148513.82</v>
      </c>
      <c r="D149" s="96">
        <v>371.87</v>
      </c>
      <c r="E149" s="96">
        <v>153.6</v>
      </c>
      <c r="F149"/>
    </row>
    <row r="150" spans="1:6">
      <c r="A150" s="92">
        <v>35765</v>
      </c>
      <c r="B150" s="93">
        <v>-0.33</v>
      </c>
      <c r="C150" s="94">
        <v>148030.38</v>
      </c>
      <c r="D150" s="93">
        <v>370.65</v>
      </c>
      <c r="E150" s="93">
        <v>153.1</v>
      </c>
      <c r="F150"/>
    </row>
    <row r="151" spans="1:6">
      <c r="A151" s="95">
        <v>35735</v>
      </c>
      <c r="B151" s="96">
        <v>-0.26</v>
      </c>
      <c r="C151" s="97">
        <v>148513.82</v>
      </c>
      <c r="D151" s="96">
        <v>371.87</v>
      </c>
      <c r="E151" s="96">
        <v>153.6</v>
      </c>
      <c r="F151"/>
    </row>
    <row r="152" spans="1:6">
      <c r="A152" s="92">
        <v>35704</v>
      </c>
      <c r="B152" s="93">
        <v>1.18</v>
      </c>
      <c r="C152" s="94">
        <v>148900.57999999999</v>
      </c>
      <c r="D152" s="93">
        <v>372.83</v>
      </c>
      <c r="E152" s="93">
        <v>154</v>
      </c>
      <c r="F152"/>
    </row>
    <row r="153" spans="1:6">
      <c r="A153" s="95">
        <v>35674</v>
      </c>
      <c r="B153" s="96">
        <v>-7.0000000000000007E-2</v>
      </c>
      <c r="C153" s="97">
        <v>147160.18</v>
      </c>
      <c r="D153" s="96">
        <v>368.48</v>
      </c>
      <c r="E153" s="96">
        <v>152.19999999999999</v>
      </c>
      <c r="F153"/>
    </row>
    <row r="154" spans="1:6">
      <c r="A154" s="92">
        <v>35643</v>
      </c>
      <c r="B154" s="93">
        <v>0.4</v>
      </c>
      <c r="C154" s="94">
        <v>147256.87</v>
      </c>
      <c r="D154" s="93">
        <v>368.72</v>
      </c>
      <c r="E154" s="93">
        <v>152.30000000000001</v>
      </c>
      <c r="F154"/>
    </row>
    <row r="155" spans="1:6">
      <c r="A155" s="95">
        <v>35612</v>
      </c>
      <c r="B155" s="96">
        <v>1</v>
      </c>
      <c r="C155" s="97">
        <v>146676.73000000001</v>
      </c>
      <c r="D155" s="96">
        <v>367.27</v>
      </c>
      <c r="E155" s="96">
        <v>151.69999999999999</v>
      </c>
      <c r="F155"/>
    </row>
    <row r="156" spans="1:6">
      <c r="A156" s="92">
        <v>35582</v>
      </c>
      <c r="B156" s="93">
        <v>1.08</v>
      </c>
      <c r="C156" s="94">
        <v>145226.41</v>
      </c>
      <c r="D156" s="93">
        <v>363.63</v>
      </c>
      <c r="E156" s="93">
        <v>150.19999999999999</v>
      </c>
      <c r="F156"/>
    </row>
    <row r="157" spans="1:6">
      <c r="A157" s="95">
        <v>35551</v>
      </c>
      <c r="B157" s="96">
        <v>0.47</v>
      </c>
      <c r="C157" s="97">
        <v>143679.39000000001</v>
      </c>
      <c r="D157" s="96">
        <v>359.76</v>
      </c>
      <c r="E157" s="96">
        <v>148.6</v>
      </c>
      <c r="F157"/>
    </row>
    <row r="158" spans="1:6">
      <c r="A158" s="92">
        <v>35521</v>
      </c>
      <c r="B158" s="93">
        <v>0.75</v>
      </c>
      <c r="C158" s="94">
        <v>143002.57</v>
      </c>
      <c r="D158" s="93">
        <v>358.07</v>
      </c>
      <c r="E158" s="93">
        <v>147.9</v>
      </c>
      <c r="F158"/>
    </row>
    <row r="159" spans="1:6">
      <c r="A159" s="95">
        <v>35490</v>
      </c>
      <c r="B159" s="96">
        <v>0.96</v>
      </c>
      <c r="C159" s="97">
        <v>141938.99</v>
      </c>
      <c r="D159" s="96">
        <v>355.4</v>
      </c>
      <c r="E159" s="96">
        <v>146.80000000000001</v>
      </c>
      <c r="F159"/>
    </row>
    <row r="160" spans="1:6">
      <c r="A160" s="92">
        <v>35462</v>
      </c>
      <c r="B160" s="93">
        <v>1.18</v>
      </c>
      <c r="C160" s="94">
        <v>140585.35</v>
      </c>
      <c r="D160" s="93">
        <v>352.01</v>
      </c>
      <c r="E160" s="93">
        <v>145.4</v>
      </c>
      <c r="F160"/>
    </row>
    <row r="161" spans="1:6">
      <c r="A161" s="95">
        <v>35431</v>
      </c>
      <c r="B161" s="96">
        <v>0.42</v>
      </c>
      <c r="C161" s="97">
        <v>138941.64000000001</v>
      </c>
      <c r="D161" s="96">
        <v>347.9</v>
      </c>
      <c r="E161" s="96">
        <v>143.69999999999999</v>
      </c>
      <c r="F161"/>
    </row>
    <row r="162" spans="1:6">
      <c r="A162" s="92">
        <v>35400</v>
      </c>
      <c r="B162" s="93">
        <v>0.77</v>
      </c>
      <c r="C162" s="94">
        <v>138361.51</v>
      </c>
      <c r="D162" s="93">
        <v>346.44</v>
      </c>
      <c r="E162" s="93">
        <v>143.1</v>
      </c>
      <c r="F162"/>
    </row>
    <row r="163" spans="1:6">
      <c r="A163" s="95">
        <v>35370</v>
      </c>
      <c r="B163" s="96">
        <v>0.64</v>
      </c>
      <c r="C163" s="97">
        <v>137297.94</v>
      </c>
      <c r="D163" s="96">
        <v>343.78</v>
      </c>
      <c r="E163" s="96">
        <v>142</v>
      </c>
      <c r="F163"/>
    </row>
    <row r="164" spans="1:6">
      <c r="A164" s="92">
        <v>35339</v>
      </c>
      <c r="B164" s="93">
        <v>0.79</v>
      </c>
      <c r="C164" s="94">
        <v>136427.73000000001</v>
      </c>
      <c r="D164" s="93">
        <v>341.6</v>
      </c>
      <c r="E164" s="93">
        <v>141.1</v>
      </c>
      <c r="F164"/>
    </row>
    <row r="165" spans="1:6">
      <c r="A165" s="95">
        <v>35309</v>
      </c>
      <c r="B165" s="96">
        <v>0.43</v>
      </c>
      <c r="C165" s="97">
        <v>135364.16</v>
      </c>
      <c r="D165" s="96">
        <v>338.94</v>
      </c>
      <c r="E165" s="96">
        <v>140</v>
      </c>
      <c r="F165"/>
    </row>
    <row r="166" spans="1:6">
      <c r="A166" s="92">
        <v>35278</v>
      </c>
      <c r="B166" s="93">
        <v>0.36</v>
      </c>
      <c r="C166" s="94">
        <v>134784.03</v>
      </c>
      <c r="D166" s="93">
        <v>337.49</v>
      </c>
      <c r="E166" s="93">
        <v>139.4</v>
      </c>
      <c r="F166"/>
    </row>
    <row r="167" spans="1:6">
      <c r="A167" s="95">
        <v>35247</v>
      </c>
      <c r="B167" s="96">
        <v>0.28999999999999998</v>
      </c>
      <c r="C167" s="97">
        <v>134300.59</v>
      </c>
      <c r="D167" s="96">
        <v>336.28</v>
      </c>
      <c r="E167" s="96">
        <v>138.9</v>
      </c>
      <c r="F167"/>
    </row>
    <row r="168" spans="1:6">
      <c r="A168" s="92">
        <v>35217</v>
      </c>
      <c r="B168" s="93">
        <v>0.73</v>
      </c>
      <c r="C168" s="94">
        <v>133913.82999999999</v>
      </c>
      <c r="D168" s="93">
        <v>335.31</v>
      </c>
      <c r="E168" s="93">
        <v>138.5</v>
      </c>
      <c r="F168"/>
    </row>
    <row r="169" spans="1:6">
      <c r="A169" s="95">
        <v>35186</v>
      </c>
      <c r="B169" s="96">
        <v>1.7</v>
      </c>
      <c r="C169" s="97">
        <v>132946.94</v>
      </c>
      <c r="D169" s="96">
        <v>332.89</v>
      </c>
      <c r="E169" s="96">
        <v>137.5</v>
      </c>
      <c r="F169"/>
    </row>
    <row r="170" spans="1:6">
      <c r="A170" s="92">
        <v>35156</v>
      </c>
      <c r="B170" s="93">
        <v>1.65</v>
      </c>
      <c r="C170" s="94">
        <v>130723.1</v>
      </c>
      <c r="D170" s="93">
        <v>327.32</v>
      </c>
      <c r="E170" s="93">
        <v>135.19999999999999</v>
      </c>
      <c r="F170"/>
    </row>
    <row r="171" spans="1:6">
      <c r="A171" s="95">
        <v>35125</v>
      </c>
      <c r="B171" s="96">
        <v>0.99</v>
      </c>
      <c r="C171" s="97">
        <v>128595.95</v>
      </c>
      <c r="D171" s="96">
        <v>321.99</v>
      </c>
      <c r="E171" s="96">
        <v>133</v>
      </c>
      <c r="F171"/>
    </row>
    <row r="172" spans="1:6">
      <c r="A172" s="92">
        <v>35096</v>
      </c>
      <c r="B172" s="93">
        <v>0.92</v>
      </c>
      <c r="C172" s="94">
        <v>127339</v>
      </c>
      <c r="D172" s="93">
        <v>318.85000000000002</v>
      </c>
      <c r="E172" s="93">
        <v>131.69999999999999</v>
      </c>
      <c r="F172"/>
    </row>
    <row r="173" spans="1:6">
      <c r="A173" s="95">
        <v>35065</v>
      </c>
      <c r="B173" s="96">
        <v>0.85</v>
      </c>
      <c r="C173" s="97">
        <v>126178.74</v>
      </c>
      <c r="D173" s="96">
        <v>315.94</v>
      </c>
      <c r="E173" s="96">
        <v>130.5</v>
      </c>
      <c r="F173"/>
    </row>
    <row r="174" spans="1:6">
      <c r="A174" s="92">
        <v>35034</v>
      </c>
      <c r="B174" s="93">
        <v>1.17</v>
      </c>
      <c r="C174" s="94">
        <v>125115.16</v>
      </c>
      <c r="D174" s="93">
        <v>313.27999999999997</v>
      </c>
      <c r="E174" s="93">
        <v>129.4</v>
      </c>
      <c r="F174"/>
    </row>
    <row r="175" spans="1:6">
      <c r="A175" s="95">
        <v>35004</v>
      </c>
      <c r="B175" s="96">
        <v>0.71</v>
      </c>
      <c r="C175" s="97">
        <v>123664.83</v>
      </c>
      <c r="D175" s="96">
        <v>309.64999999999998</v>
      </c>
      <c r="E175" s="96">
        <v>127.9</v>
      </c>
      <c r="F175"/>
    </row>
    <row r="176" spans="1:6">
      <c r="A176" s="92">
        <v>34973</v>
      </c>
      <c r="B176" s="93">
        <v>1.03</v>
      </c>
      <c r="C176" s="94">
        <v>122794.63</v>
      </c>
      <c r="D176" s="93">
        <v>307.47000000000003</v>
      </c>
      <c r="E176" s="93">
        <v>127</v>
      </c>
      <c r="F176"/>
    </row>
    <row r="177" spans="1:6">
      <c r="A177" s="95">
        <v>34943</v>
      </c>
      <c r="B177" s="96">
        <v>0.96</v>
      </c>
      <c r="C177" s="97">
        <v>121537.68</v>
      </c>
      <c r="D177" s="96">
        <v>304.32</v>
      </c>
      <c r="E177" s="96">
        <v>125.7</v>
      </c>
      <c r="F177"/>
    </row>
    <row r="178" spans="1:6">
      <c r="A178" s="92">
        <v>34912</v>
      </c>
      <c r="B178" s="93">
        <v>1.22</v>
      </c>
      <c r="C178" s="94">
        <v>120377.15</v>
      </c>
      <c r="D178" s="93">
        <v>301.41000000000003</v>
      </c>
      <c r="E178" s="93">
        <v>124.5</v>
      </c>
      <c r="F178"/>
    </row>
    <row r="179" spans="1:6">
      <c r="A179" s="95">
        <v>34881</v>
      </c>
      <c r="B179" s="96">
        <v>0.24</v>
      </c>
      <c r="C179" s="97">
        <v>118927.09</v>
      </c>
      <c r="D179" s="96">
        <v>297.77999999999997</v>
      </c>
      <c r="E179" s="96">
        <v>123</v>
      </c>
      <c r="F179"/>
    </row>
    <row r="180" spans="1:6">
      <c r="A180" s="92">
        <v>34851</v>
      </c>
      <c r="B180" s="93">
        <v>0.33</v>
      </c>
      <c r="C180" s="94">
        <v>118637.02</v>
      </c>
      <c r="D180" s="93">
        <v>297.06</v>
      </c>
      <c r="E180" s="93">
        <v>122.7</v>
      </c>
      <c r="F180"/>
    </row>
    <row r="181" spans="1:6">
      <c r="A181" s="95">
        <v>34820</v>
      </c>
      <c r="B181" s="96">
        <v>0.99</v>
      </c>
      <c r="C181" s="97">
        <v>118250.26</v>
      </c>
      <c r="D181" s="96">
        <v>296.08999999999997</v>
      </c>
      <c r="E181" s="96">
        <v>122.3</v>
      </c>
      <c r="F181"/>
    </row>
    <row r="182" spans="1:6">
      <c r="A182" s="92">
        <v>34790</v>
      </c>
      <c r="B182" s="93">
        <v>0.92</v>
      </c>
      <c r="C182" s="94">
        <v>117090</v>
      </c>
      <c r="D182" s="93">
        <v>293.18</v>
      </c>
      <c r="E182" s="93">
        <v>121.1</v>
      </c>
      <c r="F182"/>
    </row>
    <row r="183" spans="1:6">
      <c r="A183" s="95">
        <v>34759</v>
      </c>
      <c r="B183" s="96">
        <v>-0.08</v>
      </c>
      <c r="C183" s="97">
        <v>116026.42</v>
      </c>
      <c r="D183" s="96">
        <v>290.52</v>
      </c>
      <c r="E183" s="96">
        <v>120</v>
      </c>
      <c r="F183"/>
    </row>
    <row r="184" spans="1:6">
      <c r="A184" s="92">
        <v>34731</v>
      </c>
      <c r="B184" s="93">
        <v>0.17</v>
      </c>
      <c r="C184" s="94">
        <v>116123.11</v>
      </c>
      <c r="D184" s="93">
        <v>290.76</v>
      </c>
      <c r="E184" s="93">
        <v>120.1</v>
      </c>
      <c r="F184"/>
    </row>
    <row r="185" spans="1:6">
      <c r="A185" s="95">
        <v>34700</v>
      </c>
      <c r="B185" s="96">
        <v>0.17</v>
      </c>
      <c r="C185" s="97">
        <v>115929.74</v>
      </c>
      <c r="D185" s="96">
        <v>290.27999999999997</v>
      </c>
      <c r="E185" s="96">
        <v>119.9</v>
      </c>
      <c r="F185"/>
    </row>
    <row r="186" spans="1:6">
      <c r="A186" s="92">
        <v>34669</v>
      </c>
      <c r="B186" s="93">
        <v>0.84</v>
      </c>
      <c r="C186" s="94">
        <v>115736.35</v>
      </c>
      <c r="D186" s="93">
        <v>289.79000000000002</v>
      </c>
      <c r="E186" s="93">
        <v>119.7</v>
      </c>
      <c r="F186"/>
    </row>
    <row r="187" spans="1:6">
      <c r="A187" s="95">
        <v>34639</v>
      </c>
      <c r="B187" s="96">
        <v>1.28</v>
      </c>
      <c r="C187" s="97">
        <v>114769.47</v>
      </c>
      <c r="D187" s="96">
        <v>287.37</v>
      </c>
      <c r="E187" s="96">
        <v>118.7</v>
      </c>
      <c r="F187"/>
    </row>
    <row r="188" spans="1:6">
      <c r="A188" s="92">
        <v>34608</v>
      </c>
      <c r="B188" s="93">
        <v>1.38</v>
      </c>
      <c r="C188" s="94">
        <v>113319.14</v>
      </c>
      <c r="D188" s="93">
        <v>283.74</v>
      </c>
      <c r="E188" s="93">
        <v>117.2</v>
      </c>
      <c r="F188"/>
    </row>
    <row r="189" spans="1:6">
      <c r="A189" s="95">
        <v>34578</v>
      </c>
      <c r="B189" s="96">
        <v>1.1399999999999999</v>
      </c>
      <c r="C189" s="97">
        <v>111772.12</v>
      </c>
      <c r="D189" s="96">
        <v>279.87</v>
      </c>
      <c r="E189" s="96">
        <v>115.6</v>
      </c>
      <c r="F189"/>
    </row>
    <row r="190" spans="1:6">
      <c r="A190" s="92">
        <v>34547</v>
      </c>
      <c r="B190" s="93">
        <v>1.06</v>
      </c>
      <c r="C190" s="94">
        <v>110515.17</v>
      </c>
      <c r="D190" s="93">
        <v>276.72000000000003</v>
      </c>
      <c r="E190" s="93">
        <v>114.3</v>
      </c>
      <c r="F190"/>
    </row>
    <row r="191" spans="1:6">
      <c r="A191" s="95">
        <v>34516</v>
      </c>
      <c r="B191" s="96">
        <v>1.07</v>
      </c>
      <c r="C191" s="97">
        <v>109354.91</v>
      </c>
      <c r="D191" s="96">
        <v>273.81</v>
      </c>
      <c r="E191" s="96">
        <v>113.1</v>
      </c>
      <c r="F191"/>
    </row>
    <row r="192" spans="1:6">
      <c r="A192" s="92">
        <v>34486</v>
      </c>
      <c r="B192" s="93">
        <v>1.36</v>
      </c>
      <c r="C192" s="94">
        <v>108194.64</v>
      </c>
      <c r="D192" s="93">
        <v>270.91000000000003</v>
      </c>
      <c r="E192" s="93">
        <v>111.9</v>
      </c>
      <c r="F192"/>
    </row>
    <row r="193" spans="1:6">
      <c r="A193" s="95">
        <v>34455</v>
      </c>
      <c r="B193" s="96">
        <v>1.19</v>
      </c>
      <c r="C193" s="97">
        <v>106744.31</v>
      </c>
      <c r="D193" s="96">
        <v>267.27999999999997</v>
      </c>
      <c r="E193" s="96">
        <v>110.4</v>
      </c>
      <c r="F193"/>
    </row>
    <row r="194" spans="1:6">
      <c r="A194" s="92">
        <v>34425</v>
      </c>
      <c r="B194" s="93">
        <v>1.96</v>
      </c>
      <c r="C194" s="94">
        <v>105487.36</v>
      </c>
      <c r="D194" s="93">
        <v>264.13</v>
      </c>
      <c r="E194" s="93">
        <v>109.1</v>
      </c>
      <c r="F194"/>
    </row>
    <row r="195" spans="1:6">
      <c r="A195" s="95">
        <v>34394</v>
      </c>
      <c r="B195" s="96">
        <v>1.04</v>
      </c>
      <c r="C195" s="97">
        <v>103456.9</v>
      </c>
      <c r="D195" s="96">
        <v>259.05</v>
      </c>
      <c r="E195" s="96">
        <v>107</v>
      </c>
      <c r="F195"/>
    </row>
    <row r="196" spans="1:6">
      <c r="A196" s="92">
        <v>34366</v>
      </c>
      <c r="B196" s="93">
        <v>0.56999999999999995</v>
      </c>
      <c r="C196" s="94">
        <v>102393.32</v>
      </c>
      <c r="D196" s="93">
        <v>256.38</v>
      </c>
      <c r="E196" s="93">
        <v>105.9</v>
      </c>
      <c r="F196"/>
    </row>
    <row r="197" spans="1:6">
      <c r="A197" s="95">
        <v>34335</v>
      </c>
      <c r="B197" s="96">
        <v>0.68</v>
      </c>
      <c r="C197" s="97">
        <v>101813.19</v>
      </c>
      <c r="D197" s="96">
        <v>254.93</v>
      </c>
      <c r="E197" s="96">
        <v>105.3</v>
      </c>
      <c r="F197"/>
    </row>
    <row r="198" spans="1:6">
      <c r="A198" s="92">
        <v>34304</v>
      </c>
      <c r="B198" s="93">
        <v>0.76</v>
      </c>
      <c r="C198" s="94">
        <v>101121.75</v>
      </c>
      <c r="D198" s="93">
        <v>253.2</v>
      </c>
      <c r="E198" s="93">
        <v>253.2</v>
      </c>
      <c r="F198"/>
    </row>
    <row r="199" spans="1:6">
      <c r="A199" s="95">
        <v>34274</v>
      </c>
      <c r="B199" s="96">
        <v>0.76</v>
      </c>
      <c r="C199" s="97">
        <v>100362.94</v>
      </c>
      <c r="D199" s="96">
        <v>251.3</v>
      </c>
      <c r="E199" s="96">
        <v>251.3</v>
      </c>
      <c r="F199"/>
    </row>
    <row r="200" spans="1:6">
      <c r="A200" s="92">
        <v>34243</v>
      </c>
      <c r="B200" s="93">
        <v>1.42</v>
      </c>
      <c r="C200" s="94">
        <v>99604.12</v>
      </c>
      <c r="D200" s="93">
        <v>249.4</v>
      </c>
      <c r="E200" s="93">
        <v>249.4</v>
      </c>
      <c r="F200"/>
    </row>
    <row r="201" spans="1:6">
      <c r="A201" s="95">
        <v>34213</v>
      </c>
      <c r="B201" s="96">
        <v>0.99</v>
      </c>
      <c r="C201" s="97">
        <v>98206.31</v>
      </c>
      <c r="D201" s="96">
        <v>245.9</v>
      </c>
      <c r="E201" s="96">
        <v>245.9</v>
      </c>
      <c r="F201"/>
    </row>
    <row r="202" spans="1:6">
      <c r="A202" s="92">
        <v>34182</v>
      </c>
      <c r="B202" s="93">
        <v>0.95</v>
      </c>
      <c r="C202" s="94">
        <v>97247.81</v>
      </c>
      <c r="D202" s="93">
        <v>243.5</v>
      </c>
      <c r="E202" s="93">
        <v>243.5</v>
      </c>
      <c r="F202"/>
    </row>
    <row r="203" spans="1:6">
      <c r="A203" s="95">
        <v>34151</v>
      </c>
      <c r="B203" s="96">
        <v>0.12</v>
      </c>
      <c r="C203" s="97">
        <v>96329.25</v>
      </c>
      <c r="D203" s="96">
        <v>241.2</v>
      </c>
      <c r="E203" s="96">
        <v>241.2</v>
      </c>
      <c r="F203"/>
    </row>
    <row r="204" spans="1:6">
      <c r="A204" s="92">
        <v>34121</v>
      </c>
      <c r="B204" s="93">
        <v>0.25</v>
      </c>
      <c r="C204" s="94">
        <v>96209.44</v>
      </c>
      <c r="D204" s="93">
        <v>240.9</v>
      </c>
      <c r="E204" s="93">
        <v>240.9</v>
      </c>
      <c r="F204"/>
    </row>
    <row r="205" spans="1:6">
      <c r="A205" s="95">
        <v>34090</v>
      </c>
      <c r="B205" s="96">
        <v>0.28999999999999998</v>
      </c>
      <c r="C205" s="97">
        <v>95969.81</v>
      </c>
      <c r="D205" s="96">
        <v>240.3</v>
      </c>
      <c r="E205" s="96">
        <v>240.3</v>
      </c>
      <c r="F205"/>
    </row>
    <row r="206" spans="1:6">
      <c r="A206" s="92">
        <v>34060</v>
      </c>
      <c r="B206" s="93">
        <v>1.4</v>
      </c>
      <c r="C206" s="94">
        <v>95690.25</v>
      </c>
      <c r="D206" s="93">
        <v>239.6</v>
      </c>
      <c r="E206" s="93">
        <v>239.6</v>
      </c>
      <c r="F206"/>
    </row>
    <row r="207" spans="1:6">
      <c r="A207" s="95">
        <v>34029</v>
      </c>
      <c r="B207" s="96">
        <v>1.29</v>
      </c>
      <c r="C207" s="97">
        <v>94372.31</v>
      </c>
      <c r="D207" s="96">
        <v>236.3</v>
      </c>
      <c r="E207" s="96">
        <v>236.3</v>
      </c>
      <c r="F207"/>
    </row>
    <row r="208" spans="1:6">
      <c r="A208" s="92">
        <v>34001</v>
      </c>
      <c r="B208" s="93">
        <v>1.21</v>
      </c>
      <c r="C208" s="94">
        <v>93174.19</v>
      </c>
      <c r="D208" s="93">
        <v>233.3</v>
      </c>
      <c r="E208" s="93">
        <v>233.3</v>
      </c>
      <c r="F208"/>
    </row>
    <row r="209" spans="1:6">
      <c r="A209" s="95">
        <v>33970</v>
      </c>
      <c r="B209" s="96">
        <v>1.27</v>
      </c>
      <c r="C209" s="97">
        <v>92055.93</v>
      </c>
      <c r="D209" s="96">
        <v>230.5</v>
      </c>
      <c r="E209" s="96">
        <v>230.5</v>
      </c>
      <c r="F209"/>
    </row>
    <row r="210" spans="1:6">
      <c r="A210" s="92">
        <v>33939</v>
      </c>
      <c r="B210" s="93">
        <v>1.07</v>
      </c>
      <c r="C210" s="94">
        <v>90897.75</v>
      </c>
      <c r="D210" s="93">
        <v>227.6</v>
      </c>
      <c r="E210" s="93">
        <v>227.6</v>
      </c>
      <c r="F210"/>
    </row>
    <row r="211" spans="1:6">
      <c r="A211" s="95">
        <v>33909</v>
      </c>
      <c r="B211" s="96">
        <v>0.63</v>
      </c>
      <c r="C211" s="97">
        <v>89939.25</v>
      </c>
      <c r="D211" s="96">
        <v>225.2</v>
      </c>
      <c r="E211" s="96">
        <v>225.2</v>
      </c>
      <c r="F211"/>
    </row>
    <row r="212" spans="1:6">
      <c r="A212" s="92">
        <v>33878</v>
      </c>
      <c r="B212" s="93">
        <v>0.49</v>
      </c>
      <c r="C212" s="94">
        <v>89380.12</v>
      </c>
      <c r="D212" s="93">
        <v>223.8</v>
      </c>
      <c r="E212" s="93">
        <v>223.8</v>
      </c>
      <c r="F212"/>
    </row>
    <row r="213" spans="1:6">
      <c r="A213" s="95">
        <v>33848</v>
      </c>
      <c r="B213" s="96">
        <v>1.32</v>
      </c>
      <c r="C213" s="97">
        <v>88940.81</v>
      </c>
      <c r="D213" s="96">
        <v>222.7</v>
      </c>
      <c r="E213" s="96">
        <v>222.7</v>
      </c>
      <c r="F213"/>
    </row>
    <row r="214" spans="1:6">
      <c r="A214" s="92">
        <v>33817</v>
      </c>
      <c r="B214" s="93">
        <v>0.78</v>
      </c>
      <c r="C214" s="94">
        <v>87782.62</v>
      </c>
      <c r="D214" s="93">
        <v>219.8</v>
      </c>
      <c r="E214" s="93">
        <v>219.8</v>
      </c>
      <c r="F214"/>
    </row>
    <row r="215" spans="1:6">
      <c r="A215" s="95">
        <v>33786</v>
      </c>
      <c r="B215" s="96">
        <v>0.69</v>
      </c>
      <c r="C215" s="97">
        <v>87103.69</v>
      </c>
      <c r="D215" s="96">
        <v>218.1</v>
      </c>
      <c r="E215" s="96">
        <v>218.1</v>
      </c>
      <c r="F215"/>
    </row>
    <row r="216" spans="1:6">
      <c r="A216" s="92">
        <v>33756</v>
      </c>
      <c r="B216" s="93">
        <v>0.14000000000000001</v>
      </c>
      <c r="C216" s="94">
        <v>86504.62</v>
      </c>
      <c r="D216" s="93">
        <v>216.6</v>
      </c>
      <c r="E216" s="93">
        <v>216.6</v>
      </c>
      <c r="F216"/>
    </row>
    <row r="217" spans="1:6">
      <c r="A217" s="95">
        <v>33725</v>
      </c>
      <c r="B217" s="96">
        <v>-0.37</v>
      </c>
      <c r="C217" s="97">
        <v>86384.81</v>
      </c>
      <c r="D217" s="96">
        <v>216.3</v>
      </c>
      <c r="E217" s="96">
        <v>216.3</v>
      </c>
      <c r="F217"/>
    </row>
    <row r="218" spans="1:6">
      <c r="A218" s="92">
        <v>33695</v>
      </c>
      <c r="B218" s="93">
        <v>1.78</v>
      </c>
      <c r="C218" s="94">
        <v>86704.31</v>
      </c>
      <c r="D218" s="93">
        <v>217.1</v>
      </c>
      <c r="E218" s="93">
        <v>217.1</v>
      </c>
      <c r="F218"/>
    </row>
    <row r="219" spans="1:6">
      <c r="A219" s="95">
        <v>33664</v>
      </c>
      <c r="B219" s="96">
        <v>1.47</v>
      </c>
      <c r="C219" s="97">
        <v>85186.69</v>
      </c>
      <c r="D219" s="96">
        <v>213.3</v>
      </c>
      <c r="E219" s="96">
        <v>213.3</v>
      </c>
      <c r="F219"/>
    </row>
    <row r="220" spans="1:6">
      <c r="A220" s="92">
        <v>33635</v>
      </c>
      <c r="B220" s="93">
        <v>1.01</v>
      </c>
      <c r="C220" s="94">
        <v>83948.62</v>
      </c>
      <c r="D220" s="93">
        <v>210.2</v>
      </c>
      <c r="E220" s="93">
        <v>210.2</v>
      </c>
      <c r="F220"/>
    </row>
    <row r="221" spans="1:6">
      <c r="A221" s="95">
        <v>33604</v>
      </c>
      <c r="B221" s="96">
        <v>0</v>
      </c>
      <c r="C221" s="97">
        <v>83109.94</v>
      </c>
      <c r="D221" s="96">
        <v>208.1</v>
      </c>
      <c r="E221" s="96">
        <v>208.1</v>
      </c>
      <c r="F221"/>
    </row>
    <row r="222" spans="1:6">
      <c r="A222" s="92">
        <v>33573</v>
      </c>
      <c r="B222" s="93">
        <v>0.34</v>
      </c>
      <c r="C222" s="94">
        <v>83109.94</v>
      </c>
      <c r="D222" s="93">
        <v>208.1</v>
      </c>
      <c r="E222" s="93">
        <v>208.1</v>
      </c>
      <c r="F222"/>
    </row>
    <row r="223" spans="1:6">
      <c r="A223" s="95">
        <v>33543</v>
      </c>
      <c r="B223" s="96">
        <v>0.14000000000000001</v>
      </c>
      <c r="C223" s="97">
        <v>82830.38</v>
      </c>
      <c r="D223" s="96">
        <v>207.4</v>
      </c>
      <c r="E223" s="96">
        <v>207.4</v>
      </c>
      <c r="F223"/>
    </row>
    <row r="224" spans="1:6">
      <c r="A224" s="92">
        <v>33512</v>
      </c>
      <c r="B224" s="93">
        <v>0.44</v>
      </c>
      <c r="C224" s="94">
        <v>82710.559999999998</v>
      </c>
      <c r="D224" s="93">
        <v>207.1</v>
      </c>
      <c r="E224" s="93">
        <v>207.1</v>
      </c>
      <c r="F224"/>
    </row>
    <row r="225" spans="1:6">
      <c r="A225" s="95">
        <v>33482</v>
      </c>
      <c r="B225" s="96">
        <v>1.58</v>
      </c>
      <c r="C225" s="97">
        <v>82351.13</v>
      </c>
      <c r="D225" s="96">
        <v>206.2</v>
      </c>
      <c r="E225" s="96">
        <v>206.2</v>
      </c>
      <c r="F225"/>
    </row>
    <row r="226" spans="1:6">
      <c r="A226" s="92">
        <v>33451</v>
      </c>
      <c r="B226" s="93">
        <v>2.06</v>
      </c>
      <c r="C226" s="94">
        <v>81073.13</v>
      </c>
      <c r="D226" s="93">
        <v>203</v>
      </c>
      <c r="E226" s="93">
        <v>203</v>
      </c>
      <c r="F226"/>
    </row>
    <row r="227" spans="1:6">
      <c r="A227" s="95">
        <v>33420</v>
      </c>
      <c r="B227" s="96">
        <v>3</v>
      </c>
      <c r="C227" s="97">
        <v>79435.69</v>
      </c>
      <c r="D227" s="96">
        <v>198.9</v>
      </c>
      <c r="E227" s="96">
        <v>198.9</v>
      </c>
      <c r="F227"/>
    </row>
    <row r="228" spans="1:6">
      <c r="A228" s="92">
        <v>33390</v>
      </c>
      <c r="B228" s="93">
        <v>1.95</v>
      </c>
      <c r="C228" s="94">
        <v>77119.3</v>
      </c>
      <c r="D228" s="93">
        <v>193.1</v>
      </c>
      <c r="E228" s="93">
        <v>193.1</v>
      </c>
      <c r="F228"/>
    </row>
    <row r="229" spans="1:6">
      <c r="A229" s="95">
        <v>33359</v>
      </c>
      <c r="B229" s="96">
        <v>1.88</v>
      </c>
      <c r="C229" s="97">
        <v>75641.62</v>
      </c>
      <c r="D229" s="96">
        <v>189.4</v>
      </c>
      <c r="E229" s="96">
        <v>189.4</v>
      </c>
      <c r="F229"/>
    </row>
    <row r="230" spans="1:6">
      <c r="A230" s="92">
        <v>33329</v>
      </c>
      <c r="B230" s="93">
        <v>2.2000000000000002</v>
      </c>
      <c r="C230" s="94">
        <v>74243.81</v>
      </c>
      <c r="D230" s="93">
        <v>185.9</v>
      </c>
      <c r="E230" s="93">
        <v>185.9</v>
      </c>
      <c r="F230"/>
    </row>
    <row r="231" spans="1:6">
      <c r="A231" s="95">
        <v>33298</v>
      </c>
      <c r="B231" s="96">
        <v>1.22</v>
      </c>
      <c r="C231" s="97">
        <v>72646.3</v>
      </c>
      <c r="D231" s="96">
        <v>181.9</v>
      </c>
      <c r="E231" s="96">
        <v>181.9</v>
      </c>
      <c r="F231"/>
    </row>
    <row r="232" spans="1:6" ht="12.75" customHeight="1">
      <c r="A232" s="92">
        <v>33270</v>
      </c>
      <c r="B232" s="93">
        <v>0.62</v>
      </c>
      <c r="C232" s="94">
        <v>71767.69</v>
      </c>
      <c r="D232" s="93">
        <v>179.7</v>
      </c>
      <c r="E232" s="93">
        <v>179.7</v>
      </c>
      <c r="F232"/>
    </row>
    <row r="233" spans="1:6">
      <c r="A233" s="95">
        <v>33239</v>
      </c>
      <c r="B233" s="96">
        <v>1.3</v>
      </c>
      <c r="C233" s="97">
        <v>71328.37</v>
      </c>
      <c r="D233" s="96">
        <v>178.6</v>
      </c>
      <c r="E233" s="96">
        <v>178.6</v>
      </c>
      <c r="F233"/>
    </row>
    <row r="234" spans="1:6">
      <c r="A234" s="92">
        <v>33208</v>
      </c>
      <c r="B234" s="93">
        <v>0.4</v>
      </c>
      <c r="C234" s="94">
        <v>70409.81</v>
      </c>
      <c r="D234" s="93">
        <v>176.3</v>
      </c>
      <c r="E234" s="93">
        <v>176.3</v>
      </c>
      <c r="F234"/>
    </row>
    <row r="235" spans="1:6" ht="12.75" customHeight="1">
      <c r="A235" s="95">
        <v>33178</v>
      </c>
      <c r="B235" s="96">
        <v>1.27</v>
      </c>
      <c r="C235" s="97">
        <v>70130.25</v>
      </c>
      <c r="D235" s="96">
        <v>175.6</v>
      </c>
      <c r="E235" s="96">
        <v>175.6</v>
      </c>
      <c r="F235"/>
    </row>
    <row r="236" spans="1:6">
      <c r="A236" s="92">
        <v>33147</v>
      </c>
      <c r="B236" s="93">
        <v>1.7</v>
      </c>
      <c r="C236" s="94">
        <v>69251.62</v>
      </c>
      <c r="D236" s="93">
        <v>173.4</v>
      </c>
      <c r="E236" s="93">
        <v>173.4</v>
      </c>
      <c r="F236"/>
    </row>
    <row r="237" spans="1:6">
      <c r="A237" s="95">
        <v>33117</v>
      </c>
      <c r="B237" s="96">
        <v>2.1</v>
      </c>
      <c r="C237" s="97">
        <v>68093.440000000002</v>
      </c>
      <c r="D237" s="96">
        <v>170.5</v>
      </c>
      <c r="E237" s="96">
        <v>170.5</v>
      </c>
      <c r="F237"/>
    </row>
    <row r="238" spans="1:6">
      <c r="A238" s="92">
        <v>33086</v>
      </c>
      <c r="B238" s="93">
        <v>1.58</v>
      </c>
      <c r="C238" s="94">
        <v>66695.62</v>
      </c>
      <c r="D238" s="93">
        <v>167</v>
      </c>
      <c r="E238" s="93">
        <v>167</v>
      </c>
      <c r="F238"/>
    </row>
    <row r="239" spans="1:6">
      <c r="A239" s="95">
        <v>33055</v>
      </c>
      <c r="B239" s="96">
        <v>1.61</v>
      </c>
      <c r="C239" s="97">
        <v>65657.25</v>
      </c>
      <c r="D239" s="96">
        <v>164.4</v>
      </c>
      <c r="E239" s="96">
        <v>164.4</v>
      </c>
      <c r="F239"/>
    </row>
    <row r="240" spans="1:6">
      <c r="A240" s="92">
        <v>33025</v>
      </c>
      <c r="B240" s="93">
        <v>0.75</v>
      </c>
      <c r="C240" s="94">
        <v>64618.87</v>
      </c>
      <c r="D240" s="93">
        <v>161.80000000000001</v>
      </c>
      <c r="E240" s="93">
        <v>161.80000000000001</v>
      </c>
      <c r="F240"/>
    </row>
    <row r="241" spans="1:6">
      <c r="A241" s="95">
        <v>32994</v>
      </c>
      <c r="B241" s="96">
        <v>1.58</v>
      </c>
      <c r="C241" s="97">
        <v>64139.62</v>
      </c>
      <c r="D241" s="96">
        <v>160.6</v>
      </c>
      <c r="E241" s="96">
        <v>160.6</v>
      </c>
      <c r="F241"/>
    </row>
    <row r="242" spans="1:6">
      <c r="A242" s="92">
        <v>32964</v>
      </c>
      <c r="B242" s="93">
        <v>2.5299999999999998</v>
      </c>
      <c r="C242" s="94">
        <v>63141.19</v>
      </c>
      <c r="D242" s="93">
        <v>158.1</v>
      </c>
      <c r="E242" s="93">
        <v>158.1</v>
      </c>
      <c r="F242"/>
    </row>
    <row r="243" spans="1:6">
      <c r="A243" s="95">
        <v>32933</v>
      </c>
      <c r="B243" s="96">
        <v>1.25</v>
      </c>
      <c r="C243" s="97">
        <v>61583.62</v>
      </c>
      <c r="D243" s="96">
        <v>154.19999999999999</v>
      </c>
      <c r="E243" s="96">
        <v>154.19999999999999</v>
      </c>
      <c r="F243"/>
    </row>
    <row r="244" spans="1:6">
      <c r="A244" s="92">
        <v>32905</v>
      </c>
      <c r="B244" s="93">
        <v>0.53</v>
      </c>
      <c r="C244" s="94">
        <v>60824.81</v>
      </c>
      <c r="D244" s="93">
        <v>152.30000000000001</v>
      </c>
      <c r="E244" s="93">
        <v>152.30000000000001</v>
      </c>
      <c r="F244"/>
    </row>
    <row r="245" spans="1:6">
      <c r="A245" s="95">
        <v>32874</v>
      </c>
      <c r="B245" s="96">
        <v>1.07</v>
      </c>
      <c r="C245" s="97">
        <v>60505.31</v>
      </c>
      <c r="D245" s="96">
        <v>151.5</v>
      </c>
      <c r="E245" s="96">
        <v>151.5</v>
      </c>
      <c r="F245"/>
    </row>
    <row r="246" spans="1:6">
      <c r="A246" s="92">
        <v>32843</v>
      </c>
      <c r="B246" s="93">
        <v>1.08</v>
      </c>
      <c r="C246" s="94">
        <v>59866.31</v>
      </c>
      <c r="D246" s="93">
        <v>149.9</v>
      </c>
      <c r="E246" s="93">
        <v>149.9</v>
      </c>
      <c r="F246"/>
    </row>
    <row r="247" spans="1:6">
      <c r="A247" s="95">
        <v>32813</v>
      </c>
      <c r="B247" s="96">
        <v>1.3</v>
      </c>
      <c r="C247" s="97">
        <v>59227.31</v>
      </c>
      <c r="D247" s="96">
        <v>148.30000000000001</v>
      </c>
      <c r="E247" s="96">
        <v>148.30000000000001</v>
      </c>
      <c r="F247"/>
    </row>
    <row r="248" spans="1:6">
      <c r="A248" s="92">
        <v>32782</v>
      </c>
      <c r="B248" s="93">
        <v>1.81</v>
      </c>
      <c r="C248" s="94">
        <v>58468.5</v>
      </c>
      <c r="D248" s="93">
        <v>146.4</v>
      </c>
      <c r="E248" s="93">
        <v>146.4</v>
      </c>
      <c r="F248"/>
    </row>
    <row r="249" spans="1:6">
      <c r="A249" s="95">
        <v>32752</v>
      </c>
      <c r="B249" s="96">
        <v>1.55</v>
      </c>
      <c r="C249" s="97">
        <v>57430.12</v>
      </c>
      <c r="D249" s="96">
        <v>143.80000000000001</v>
      </c>
      <c r="E249" s="96">
        <v>143.80000000000001</v>
      </c>
      <c r="F249"/>
    </row>
    <row r="250" spans="1:6">
      <c r="A250" s="92">
        <v>32721</v>
      </c>
      <c r="B250" s="93">
        <v>1.22</v>
      </c>
      <c r="C250" s="94">
        <v>56551.5</v>
      </c>
      <c r="D250" s="93">
        <v>141.6</v>
      </c>
      <c r="E250" s="93">
        <v>141.6</v>
      </c>
      <c r="F250"/>
    </row>
    <row r="251" spans="1:6">
      <c r="A251" s="95">
        <v>32690</v>
      </c>
      <c r="B251" s="96">
        <v>0.57999999999999996</v>
      </c>
      <c r="C251" s="97">
        <v>55872.56</v>
      </c>
      <c r="D251" s="96">
        <v>139.9</v>
      </c>
      <c r="E251" s="96">
        <v>139.9</v>
      </c>
      <c r="F251"/>
    </row>
    <row r="252" spans="1:6">
      <c r="A252" s="92">
        <v>32660</v>
      </c>
      <c r="B252" s="93">
        <v>1.24</v>
      </c>
      <c r="C252" s="94">
        <v>55553.06</v>
      </c>
      <c r="D252" s="93">
        <v>139.1</v>
      </c>
      <c r="E252" s="93">
        <v>139.1</v>
      </c>
      <c r="F252"/>
    </row>
    <row r="253" spans="1:6">
      <c r="A253" s="95">
        <v>32629</v>
      </c>
      <c r="B253" s="96">
        <v>0.88</v>
      </c>
      <c r="C253" s="97">
        <v>54874.12</v>
      </c>
      <c r="D253" s="96">
        <v>137.4</v>
      </c>
      <c r="E253" s="96">
        <v>137.4</v>
      </c>
      <c r="F253"/>
    </row>
    <row r="254" spans="1:6">
      <c r="A254" s="92">
        <v>32599</v>
      </c>
      <c r="B254" s="93">
        <v>2.56</v>
      </c>
      <c r="C254" s="94">
        <v>54394.87</v>
      </c>
      <c r="D254" s="93">
        <v>136.19999999999999</v>
      </c>
      <c r="E254" s="93">
        <v>136.19999999999999</v>
      </c>
      <c r="F254"/>
    </row>
    <row r="255" spans="1:6">
      <c r="A255" s="95">
        <v>32568</v>
      </c>
      <c r="B255" s="96">
        <v>0.45</v>
      </c>
      <c r="C255" s="97">
        <v>53036.33</v>
      </c>
      <c r="D255" s="96">
        <v>132.80000000000001</v>
      </c>
      <c r="E255" s="96">
        <v>132.80000000000001</v>
      </c>
      <c r="F255"/>
    </row>
    <row r="256" spans="1:6">
      <c r="A256" s="92">
        <v>32540</v>
      </c>
      <c r="B256" s="93">
        <v>1.69</v>
      </c>
      <c r="C256" s="94">
        <v>52797.37</v>
      </c>
      <c r="D256" s="93">
        <v>132.19999999999999</v>
      </c>
      <c r="E256" s="93">
        <v>132.19999999999999</v>
      </c>
      <c r="F256"/>
    </row>
    <row r="257" spans="1:6">
      <c r="A257" s="95">
        <v>32509</v>
      </c>
      <c r="B257" s="96">
        <v>4.67</v>
      </c>
      <c r="C257" s="97">
        <v>51918.75</v>
      </c>
      <c r="D257" s="96">
        <v>130</v>
      </c>
      <c r="E257" s="96">
        <v>130</v>
      </c>
      <c r="F257"/>
    </row>
    <row r="258" spans="1:6">
      <c r="A258" s="92">
        <v>32478</v>
      </c>
      <c r="B258" s="93">
        <v>0.49</v>
      </c>
      <c r="C258" s="94">
        <v>49602.38</v>
      </c>
      <c r="D258" s="93">
        <v>124.2</v>
      </c>
      <c r="E258" s="93">
        <v>124.2</v>
      </c>
      <c r="F258"/>
    </row>
    <row r="259" spans="1:6">
      <c r="A259" s="95">
        <v>32448</v>
      </c>
      <c r="B259" s="96">
        <v>1.64</v>
      </c>
      <c r="C259" s="97">
        <v>49362.75</v>
      </c>
      <c r="D259" s="96">
        <v>123.6</v>
      </c>
      <c r="E259" s="96">
        <v>123.6</v>
      </c>
      <c r="F259"/>
    </row>
    <row r="260" spans="1:6">
      <c r="A260" s="92">
        <v>32417</v>
      </c>
      <c r="B260" s="93">
        <v>2.36</v>
      </c>
      <c r="C260" s="94">
        <v>48564</v>
      </c>
      <c r="D260" s="93">
        <v>121.6</v>
      </c>
      <c r="E260" s="93">
        <v>121.6</v>
      </c>
      <c r="F260"/>
    </row>
    <row r="261" spans="1:6">
      <c r="A261" s="95">
        <v>32387</v>
      </c>
      <c r="B261" s="96">
        <v>1.71</v>
      </c>
      <c r="C261" s="97">
        <v>47445.75</v>
      </c>
      <c r="D261" s="96">
        <v>118.8</v>
      </c>
      <c r="E261" s="96">
        <v>118.8</v>
      </c>
      <c r="F261"/>
    </row>
    <row r="262" spans="1:6">
      <c r="A262" s="92">
        <v>32356</v>
      </c>
      <c r="B262" s="93">
        <v>0.78</v>
      </c>
      <c r="C262" s="94">
        <v>46647</v>
      </c>
      <c r="D262" s="93">
        <v>116.8</v>
      </c>
      <c r="E262" s="93">
        <v>116.8</v>
      </c>
      <c r="F262"/>
    </row>
    <row r="263" spans="1:6">
      <c r="A263" s="95">
        <v>32325</v>
      </c>
      <c r="B263" s="96">
        <v>0.09</v>
      </c>
      <c r="C263" s="97">
        <v>46287.56</v>
      </c>
      <c r="D263" s="96">
        <v>115.9</v>
      </c>
      <c r="E263" s="96">
        <v>115.9</v>
      </c>
      <c r="F263"/>
    </row>
    <row r="264" spans="1:6">
      <c r="A264" s="92">
        <v>32295</v>
      </c>
      <c r="B264" s="93">
        <v>0.26</v>
      </c>
      <c r="C264" s="94">
        <v>46247.62</v>
      </c>
      <c r="D264" s="93">
        <v>115.8</v>
      </c>
      <c r="E264" s="93">
        <v>115.8</v>
      </c>
      <c r="F264"/>
    </row>
    <row r="265" spans="1:6">
      <c r="A265" s="95">
        <v>32264</v>
      </c>
      <c r="B265" s="96">
        <v>1.23</v>
      </c>
      <c r="C265" s="97">
        <v>46127.81</v>
      </c>
      <c r="D265" s="96">
        <v>115.5</v>
      </c>
      <c r="E265" s="96">
        <v>115.5</v>
      </c>
      <c r="F265"/>
    </row>
    <row r="266" spans="1:6">
      <c r="A266" s="92">
        <v>32234</v>
      </c>
      <c r="B266" s="93">
        <v>2.7</v>
      </c>
      <c r="C266" s="94">
        <v>45568.68</v>
      </c>
      <c r="D266" s="93">
        <v>114.1</v>
      </c>
      <c r="E266" s="93">
        <v>114.1</v>
      </c>
      <c r="F266"/>
    </row>
    <row r="267" spans="1:6">
      <c r="A267" s="95">
        <v>32203</v>
      </c>
      <c r="B267" s="96">
        <v>1.65</v>
      </c>
      <c r="C267" s="97">
        <v>44370.559999999998</v>
      </c>
      <c r="D267" s="96">
        <v>111.1</v>
      </c>
      <c r="E267" s="96">
        <v>111.1</v>
      </c>
      <c r="F267"/>
    </row>
    <row r="268" spans="1:6">
      <c r="A268" s="92">
        <v>32174</v>
      </c>
      <c r="B268" s="93">
        <v>0.84</v>
      </c>
      <c r="C268" s="94">
        <v>43651.69</v>
      </c>
      <c r="D268" s="93">
        <v>109.3</v>
      </c>
      <c r="E268" s="93">
        <v>109.3</v>
      </c>
      <c r="F268"/>
    </row>
    <row r="269" spans="1:6">
      <c r="A269" s="95">
        <v>32143</v>
      </c>
      <c r="B269" s="96">
        <v>1.58</v>
      </c>
      <c r="C269" s="97">
        <v>43290</v>
      </c>
      <c r="D269" s="96">
        <v>108.39</v>
      </c>
      <c r="E269" s="96">
        <v>108.39</v>
      </c>
      <c r="F269"/>
    </row>
    <row r="270" spans="1:6">
      <c r="A270" s="92">
        <v>32112</v>
      </c>
      <c r="B270" s="93">
        <v>1.28</v>
      </c>
      <c r="C270" s="94">
        <v>42615</v>
      </c>
      <c r="D270" s="93"/>
      <c r="E270" s="93">
        <v>189.42</v>
      </c>
    </row>
    <row r="271" spans="1:6">
      <c r="A271" s="95">
        <v>32082</v>
      </c>
      <c r="B271" s="96">
        <v>1.57</v>
      </c>
      <c r="C271" s="97">
        <v>42075</v>
      </c>
      <c r="D271" s="96"/>
      <c r="E271" s="96">
        <v>187.02</v>
      </c>
    </row>
    <row r="272" spans="1:6">
      <c r="A272" s="92">
        <v>32051</v>
      </c>
      <c r="B272" s="93">
        <v>1.55</v>
      </c>
      <c r="C272" s="94">
        <v>41423</v>
      </c>
      <c r="D272" s="93"/>
      <c r="E272" s="93">
        <v>184.12</v>
      </c>
    </row>
    <row r="273" spans="1:5">
      <c r="A273" s="95">
        <v>32021</v>
      </c>
      <c r="B273" s="96">
        <v>0.95</v>
      </c>
      <c r="C273" s="97">
        <v>40792</v>
      </c>
      <c r="D273" s="96"/>
      <c r="E273" s="96">
        <v>181.31</v>
      </c>
    </row>
    <row r="274" spans="1:5">
      <c r="A274" s="92">
        <v>31990</v>
      </c>
      <c r="B274" s="93">
        <v>1.24</v>
      </c>
      <c r="C274" s="94">
        <v>40410</v>
      </c>
      <c r="D274" s="93"/>
      <c r="E274" s="93">
        <v>179.61</v>
      </c>
    </row>
    <row r="275" spans="1:5">
      <c r="A275" s="95">
        <v>31959</v>
      </c>
      <c r="B275" s="96">
        <v>0.23</v>
      </c>
      <c r="C275" s="97">
        <v>39915</v>
      </c>
      <c r="D275" s="96"/>
      <c r="E275" s="96">
        <v>177.41</v>
      </c>
    </row>
    <row r="276" spans="1:5">
      <c r="A276" s="92">
        <v>31929</v>
      </c>
      <c r="B276" s="93">
        <v>0.98</v>
      </c>
      <c r="C276" s="94">
        <v>39825</v>
      </c>
      <c r="D276" s="93"/>
      <c r="E276" s="93">
        <v>177.01</v>
      </c>
    </row>
    <row r="277" spans="1:5">
      <c r="A277" s="95">
        <v>31898</v>
      </c>
      <c r="B277" s="96">
        <v>0.63</v>
      </c>
      <c r="C277" s="97">
        <v>39440</v>
      </c>
      <c r="D277" s="96"/>
      <c r="E277" s="96">
        <v>175.3</v>
      </c>
    </row>
    <row r="278" spans="1:5">
      <c r="A278" s="92">
        <v>31868</v>
      </c>
      <c r="B278" s="93">
        <v>2.23</v>
      </c>
      <c r="C278" s="94">
        <v>39195</v>
      </c>
      <c r="D278" s="93"/>
      <c r="E278" s="93">
        <v>174.21</v>
      </c>
    </row>
    <row r="279" spans="1:5">
      <c r="A279" s="95">
        <v>31837</v>
      </c>
      <c r="B279" s="96">
        <v>1.31</v>
      </c>
      <c r="C279" s="97">
        <v>38340</v>
      </c>
      <c r="D279" s="96"/>
      <c r="E279" s="96">
        <v>170.41</v>
      </c>
    </row>
    <row r="280" spans="1:5">
      <c r="A280" s="92">
        <v>31809</v>
      </c>
      <c r="B280" s="93">
        <v>0.96</v>
      </c>
      <c r="C280" s="94">
        <v>37845</v>
      </c>
      <c r="D280" s="93"/>
      <c r="E280" s="93">
        <v>168.21</v>
      </c>
    </row>
    <row r="281" spans="1:5">
      <c r="A281" s="95">
        <v>31778</v>
      </c>
      <c r="B281" s="96">
        <v>2.15</v>
      </c>
      <c r="C281" s="97">
        <v>37485</v>
      </c>
      <c r="D281" s="96"/>
      <c r="E281" s="96">
        <v>166.61</v>
      </c>
    </row>
    <row r="282" spans="1:5">
      <c r="A282" s="92">
        <v>31747</v>
      </c>
      <c r="B282" s="93">
        <v>1.49</v>
      </c>
      <c r="C282" s="94">
        <v>36697</v>
      </c>
      <c r="D282" s="93"/>
      <c r="E282" s="93">
        <v>163.11000000000001</v>
      </c>
    </row>
    <row r="283" spans="1:5">
      <c r="A283" s="95">
        <v>31717</v>
      </c>
      <c r="B283" s="96">
        <v>2.88</v>
      </c>
      <c r="C283" s="97">
        <v>36157</v>
      </c>
      <c r="D283" s="96"/>
      <c r="E283" s="96">
        <v>160.71</v>
      </c>
    </row>
    <row r="284" spans="1:5">
      <c r="A284" s="92">
        <v>31686</v>
      </c>
      <c r="B284" s="93">
        <v>2.36</v>
      </c>
      <c r="C284" s="94">
        <v>35145</v>
      </c>
      <c r="D284" s="93"/>
      <c r="E284" s="93">
        <v>156.21</v>
      </c>
    </row>
    <row r="285" spans="1:5">
      <c r="A285" s="95">
        <v>31656</v>
      </c>
      <c r="B285" s="96">
        <v>1.94</v>
      </c>
      <c r="C285" s="97">
        <v>34335</v>
      </c>
      <c r="D285" s="96"/>
      <c r="E285" s="96">
        <v>152.61000000000001</v>
      </c>
    </row>
    <row r="286" spans="1:5">
      <c r="A286" s="92">
        <v>31625</v>
      </c>
      <c r="B286" s="93">
        <v>1.08</v>
      </c>
      <c r="C286" s="94">
        <v>33682</v>
      </c>
      <c r="D286" s="93"/>
      <c r="E286" s="93">
        <v>149.71</v>
      </c>
    </row>
    <row r="287" spans="1:5">
      <c r="A287" s="95">
        <v>31594</v>
      </c>
      <c r="B287" s="96">
        <v>0</v>
      </c>
      <c r="C287" s="97">
        <v>33322</v>
      </c>
      <c r="D287" s="96"/>
      <c r="E287" s="96">
        <v>148.11000000000001</v>
      </c>
    </row>
    <row r="288" spans="1:5">
      <c r="A288" s="92">
        <v>31564</v>
      </c>
      <c r="B288" s="93">
        <v>1.65</v>
      </c>
      <c r="C288" s="94">
        <v>33322</v>
      </c>
      <c r="D288" s="93"/>
      <c r="E288" s="93">
        <v>148.11000000000001</v>
      </c>
    </row>
    <row r="289" spans="1:5">
      <c r="A289" s="95">
        <v>31533</v>
      </c>
      <c r="B289" s="96">
        <v>1.6</v>
      </c>
      <c r="C289" s="97">
        <v>32780</v>
      </c>
      <c r="D289" s="96"/>
      <c r="E289" s="96">
        <v>145.69999999999999</v>
      </c>
    </row>
    <row r="290" spans="1:5">
      <c r="A290" s="92">
        <v>31503</v>
      </c>
      <c r="B290" s="93">
        <v>3.31</v>
      </c>
      <c r="C290" s="94">
        <v>32265</v>
      </c>
      <c r="D290" s="93"/>
      <c r="E290" s="93">
        <v>143.41</v>
      </c>
    </row>
    <row r="291" spans="1:5">
      <c r="A291" s="95">
        <v>31472</v>
      </c>
      <c r="B291" s="96">
        <v>1.54</v>
      </c>
      <c r="C291" s="97">
        <v>31230</v>
      </c>
      <c r="D291" s="96"/>
      <c r="E291" s="96">
        <v>138.81</v>
      </c>
    </row>
    <row r="292" spans="1:5">
      <c r="A292" s="92">
        <v>31444</v>
      </c>
      <c r="B292" s="93">
        <v>1.64</v>
      </c>
      <c r="C292" s="94">
        <v>30757.5</v>
      </c>
      <c r="D292" s="93"/>
      <c r="E292" s="93">
        <v>136.71</v>
      </c>
    </row>
    <row r="293" spans="1:5">
      <c r="A293" s="95">
        <v>31413</v>
      </c>
      <c r="B293" s="96">
        <v>-1.34</v>
      </c>
      <c r="C293" s="97">
        <v>30260</v>
      </c>
      <c r="D293" s="96"/>
      <c r="E293" s="96">
        <v>134.5</v>
      </c>
    </row>
    <row r="294" spans="1:5">
      <c r="A294" s="92">
        <v>31382</v>
      </c>
      <c r="B294" s="93">
        <v>1.29</v>
      </c>
      <c r="C294" s="94">
        <v>30670</v>
      </c>
      <c r="D294" s="93"/>
      <c r="E294" s="93">
        <v>306.7</v>
      </c>
    </row>
    <row r="295" spans="1:5">
      <c r="A295" s="95">
        <v>31352</v>
      </c>
      <c r="B295" s="96">
        <v>0.46</v>
      </c>
      <c r="C295" s="97">
        <v>30280</v>
      </c>
      <c r="D295" s="96"/>
      <c r="E295" s="96">
        <v>302.8</v>
      </c>
    </row>
    <row r="296" spans="1:5">
      <c r="A296" s="92">
        <v>31321</v>
      </c>
      <c r="B296" s="93">
        <v>4.6500000000000004</v>
      </c>
      <c r="C296" s="94">
        <v>30140</v>
      </c>
      <c r="D296" s="93"/>
      <c r="E296" s="93">
        <v>301.39999999999998</v>
      </c>
    </row>
    <row r="297" spans="1:5">
      <c r="A297" s="95">
        <v>31291</v>
      </c>
      <c r="B297" s="96">
        <v>3.04</v>
      </c>
      <c r="C297" s="97">
        <v>28800</v>
      </c>
      <c r="D297" s="96"/>
      <c r="E297" s="96">
        <v>288</v>
      </c>
    </row>
    <row r="298" spans="1:5">
      <c r="A298" s="92">
        <v>31260</v>
      </c>
      <c r="B298" s="93">
        <v>3.9</v>
      </c>
      <c r="C298" s="94">
        <v>27950</v>
      </c>
      <c r="D298" s="93"/>
      <c r="E298" s="93">
        <v>279.5</v>
      </c>
    </row>
    <row r="299" spans="1:5">
      <c r="A299" s="95">
        <v>31229</v>
      </c>
      <c r="B299" s="96">
        <v>27.49</v>
      </c>
      <c r="C299" s="97">
        <v>26900</v>
      </c>
      <c r="D299" s="96"/>
      <c r="E299" s="96">
        <v>269</v>
      </c>
    </row>
    <row r="300" spans="1:5">
      <c r="A300" s="92">
        <v>31199</v>
      </c>
      <c r="B300" s="93">
        <v>14.92</v>
      </c>
      <c r="C300" s="94">
        <v>21100</v>
      </c>
      <c r="D300" s="93"/>
      <c r="E300" s="93">
        <v>211</v>
      </c>
    </row>
    <row r="301" spans="1:5">
      <c r="A301" s="95">
        <v>31168</v>
      </c>
      <c r="B301" s="96">
        <v>6.81</v>
      </c>
      <c r="C301" s="97">
        <v>18360</v>
      </c>
      <c r="D301" s="96"/>
      <c r="E301" s="96">
        <v>183.6</v>
      </c>
    </row>
    <row r="302" spans="1:5">
      <c r="A302" s="92">
        <v>31138</v>
      </c>
      <c r="B302" s="93">
        <v>19.38</v>
      </c>
      <c r="C302" s="94">
        <v>17190</v>
      </c>
      <c r="D302" s="93"/>
      <c r="E302" s="93">
        <v>171.9</v>
      </c>
    </row>
    <row r="303" spans="1:5">
      <c r="A303" s="95">
        <v>31107</v>
      </c>
      <c r="B303" s="96">
        <v>12.06</v>
      </c>
      <c r="C303" s="97">
        <v>14400</v>
      </c>
      <c r="D303" s="96"/>
      <c r="E303" s="96">
        <v>144</v>
      </c>
    </row>
    <row r="304" spans="1:5">
      <c r="A304" s="92">
        <v>31079</v>
      </c>
      <c r="B304" s="93">
        <v>13.52</v>
      </c>
      <c r="C304" s="94">
        <v>12850</v>
      </c>
      <c r="D304" s="93"/>
      <c r="E304" s="93">
        <v>128.5</v>
      </c>
    </row>
    <row r="305" spans="1:5">
      <c r="A305" s="95">
        <v>31048</v>
      </c>
      <c r="B305" s="96">
        <v>0</v>
      </c>
      <c r="C305" s="97">
        <v>11320</v>
      </c>
      <c r="D305" s="96"/>
      <c r="E305" s="96">
        <v>113.2</v>
      </c>
    </row>
  </sheetData>
  <mergeCells count="2">
    <mergeCell ref="A1:A2"/>
    <mergeCell ref="B1:B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rightToLeft="1" workbookViewId="0">
      <pane ySplit="9" topLeftCell="A10" activePane="bottomLeft" state="frozen"/>
      <selection pane="bottomLeft" activeCell="A10" sqref="A10"/>
    </sheetView>
  </sheetViews>
  <sheetFormatPr defaultRowHeight="14.25"/>
  <cols>
    <col min="1" max="2" width="14" style="177" bestFit="1" customWidth="1"/>
    <col min="3" max="3" width="7.140625" style="177" bestFit="1" customWidth="1"/>
    <col min="4" max="4" width="8" style="179" bestFit="1" customWidth="1"/>
    <col min="5" max="5" width="10.140625" style="179" bestFit="1" customWidth="1"/>
    <col min="6" max="16384" width="9.140625" style="177"/>
  </cols>
  <sheetData>
    <row r="1" spans="1:6" ht="15">
      <c r="A1" s="271" t="s">
        <v>177</v>
      </c>
      <c r="B1" s="271"/>
      <c r="C1" s="272" t="s">
        <v>180</v>
      </c>
    </row>
    <row r="2" spans="1:6" ht="15">
      <c r="A2" s="180" t="s">
        <v>178</v>
      </c>
      <c r="B2" s="180" t="s">
        <v>179</v>
      </c>
      <c r="C2" s="272"/>
    </row>
    <row r="3" spans="1:6">
      <c r="A3" s="181">
        <v>0</v>
      </c>
      <c r="B3" s="181">
        <v>100</v>
      </c>
      <c r="C3" s="182">
        <v>0.8</v>
      </c>
    </row>
    <row r="4" spans="1:6">
      <c r="A4" s="181">
        <f>B3</f>
        <v>100</v>
      </c>
      <c r="B4" s="181">
        <v>500</v>
      </c>
      <c r="C4" s="182">
        <v>1</v>
      </c>
    </row>
    <row r="5" spans="1:6">
      <c r="A5" s="181">
        <f t="shared" ref="A5:A7" si="0">B4</f>
        <v>500</v>
      </c>
      <c r="B5" s="181">
        <v>1000</v>
      </c>
      <c r="C5" s="182">
        <v>1.2</v>
      </c>
    </row>
    <row r="6" spans="1:6">
      <c r="A6" s="181">
        <f t="shared" si="0"/>
        <v>1000</v>
      </c>
      <c r="B6" s="181">
        <v>5000</v>
      </c>
      <c r="C6" s="182">
        <v>0.8</v>
      </c>
    </row>
    <row r="7" spans="1:6">
      <c r="A7" s="181">
        <f t="shared" si="0"/>
        <v>5000</v>
      </c>
      <c r="B7" s="181">
        <v>10000</v>
      </c>
      <c r="C7" s="182">
        <v>0.6</v>
      </c>
    </row>
    <row r="9" spans="1:6" s="178" customFormat="1" ht="43.5" customHeight="1">
      <c r="A9" s="178" t="s">
        <v>174</v>
      </c>
      <c r="B9" s="178" t="s">
        <v>175</v>
      </c>
      <c r="C9" s="178" t="s">
        <v>176</v>
      </c>
      <c r="D9" s="178" t="s">
        <v>177</v>
      </c>
      <c r="E9" s="178" t="s">
        <v>181</v>
      </c>
      <c r="F9" s="178" t="s">
        <v>182</v>
      </c>
    </row>
    <row r="10" spans="1:6">
      <c r="A10" s="177">
        <v>48280200</v>
      </c>
      <c r="B10" s="177">
        <v>9</v>
      </c>
      <c r="C10" s="177">
        <v>390</v>
      </c>
      <c r="D10" s="179">
        <v>10974</v>
      </c>
      <c r="E10" s="183"/>
      <c r="F10" s="179"/>
    </row>
    <row r="11" spans="1:6">
      <c r="A11" s="177">
        <v>88720000</v>
      </c>
      <c r="B11" s="177">
        <v>9</v>
      </c>
      <c r="C11" s="177">
        <v>409</v>
      </c>
      <c r="D11" s="179">
        <v>3736</v>
      </c>
      <c r="E11" s="183"/>
      <c r="F11" s="179"/>
    </row>
    <row r="12" spans="1:6">
      <c r="A12" s="177">
        <v>152010000</v>
      </c>
      <c r="B12" s="177">
        <v>6120</v>
      </c>
      <c r="C12" s="177">
        <v>311</v>
      </c>
      <c r="D12" s="179">
        <v>40</v>
      </c>
      <c r="E12" s="183"/>
      <c r="F12" s="179"/>
    </row>
    <row r="13" spans="1:6">
      <c r="A13" s="177">
        <v>470790100</v>
      </c>
      <c r="B13" s="177">
        <v>6120</v>
      </c>
      <c r="C13" s="177">
        <v>311</v>
      </c>
      <c r="D13" s="179">
        <v>32</v>
      </c>
      <c r="E13" s="183"/>
      <c r="F13" s="179"/>
    </row>
    <row r="14" spans="1:6">
      <c r="A14" s="177">
        <v>18580100</v>
      </c>
      <c r="B14" s="177">
        <v>22799</v>
      </c>
      <c r="C14" s="177">
        <v>311</v>
      </c>
      <c r="D14" s="179">
        <v>300</v>
      </c>
      <c r="E14" s="183"/>
      <c r="F14" s="179"/>
    </row>
    <row r="15" spans="1:6">
      <c r="A15" s="177">
        <v>783880000</v>
      </c>
      <c r="B15" s="177">
        <v>22799</v>
      </c>
      <c r="C15" s="177">
        <v>321</v>
      </c>
      <c r="D15" s="179">
        <v>82</v>
      </c>
      <c r="E15" s="183"/>
      <c r="F15" s="179"/>
    </row>
    <row r="16" spans="1:6">
      <c r="A16" s="177">
        <v>783890000</v>
      </c>
      <c r="B16" s="177">
        <v>22799</v>
      </c>
      <c r="C16" s="177">
        <v>321</v>
      </c>
      <c r="D16" s="179">
        <v>604</v>
      </c>
      <c r="E16" s="183"/>
      <c r="F16" s="179"/>
    </row>
    <row r="17" spans="1:6">
      <c r="A17" s="177">
        <v>981380000</v>
      </c>
      <c r="B17" s="177">
        <v>22799</v>
      </c>
      <c r="C17" s="177">
        <v>311</v>
      </c>
      <c r="D17" s="179">
        <v>4333</v>
      </c>
      <c r="E17" s="183"/>
      <c r="F17" s="179"/>
    </row>
    <row r="18" spans="1:6">
      <c r="A18" s="177">
        <v>1073740000</v>
      </c>
      <c r="B18" s="177">
        <v>22799</v>
      </c>
      <c r="C18" s="177">
        <v>805</v>
      </c>
      <c r="D18" s="179">
        <v>930</v>
      </c>
      <c r="E18" s="183"/>
      <c r="F18" s="179"/>
    </row>
    <row r="19" spans="1:6">
      <c r="A19" s="177">
        <v>2280000</v>
      </c>
      <c r="B19" s="177">
        <v>22800</v>
      </c>
      <c r="C19" s="177">
        <v>311</v>
      </c>
      <c r="D19" s="179">
        <v>1136</v>
      </c>
      <c r="E19" s="183"/>
      <c r="F19" s="179"/>
    </row>
    <row r="20" spans="1:6">
      <c r="A20" s="177">
        <v>4270000</v>
      </c>
      <c r="B20" s="177">
        <v>42700</v>
      </c>
      <c r="C20" s="177">
        <v>311</v>
      </c>
      <c r="D20" s="179">
        <v>111</v>
      </c>
      <c r="E20" s="183"/>
      <c r="F20" s="179"/>
    </row>
    <row r="21" spans="1:6">
      <c r="A21" s="177">
        <v>4270100</v>
      </c>
      <c r="B21" s="177">
        <v>42701</v>
      </c>
      <c r="C21" s="177">
        <v>311</v>
      </c>
      <c r="D21" s="179">
        <v>124</v>
      </c>
      <c r="E21" s="183"/>
      <c r="F21" s="179"/>
    </row>
    <row r="22" spans="1:6">
      <c r="A22" s="177">
        <v>4460000</v>
      </c>
      <c r="B22" s="177">
        <v>44600</v>
      </c>
      <c r="C22" s="177">
        <v>311</v>
      </c>
      <c r="D22" s="179">
        <v>25</v>
      </c>
      <c r="E22" s="183"/>
      <c r="F22" s="179"/>
    </row>
    <row r="23" spans="1:6">
      <c r="A23" s="177">
        <v>6280100</v>
      </c>
      <c r="B23" s="177">
        <v>62800</v>
      </c>
      <c r="C23" s="177">
        <v>311</v>
      </c>
      <c r="D23" s="179">
        <v>10</v>
      </c>
      <c r="E23" s="183"/>
      <c r="F23" s="179"/>
    </row>
    <row r="24" spans="1:6">
      <c r="A24" s="177">
        <v>198520500</v>
      </c>
      <c r="B24" s="177">
        <v>74005</v>
      </c>
      <c r="C24" s="177">
        <v>507</v>
      </c>
      <c r="D24" s="179">
        <v>24</v>
      </c>
      <c r="E24" s="183"/>
      <c r="F24" s="179"/>
    </row>
    <row r="25" spans="1:6">
      <c r="A25" s="177">
        <v>674920200</v>
      </c>
      <c r="B25" s="177">
        <v>74005</v>
      </c>
      <c r="C25" s="177">
        <v>315</v>
      </c>
      <c r="D25" s="179">
        <v>788</v>
      </c>
      <c r="E25" s="183"/>
      <c r="F25" s="179"/>
    </row>
    <row r="26" spans="1:6">
      <c r="A26" s="177">
        <v>715050000</v>
      </c>
      <c r="B26" s="177">
        <v>74005</v>
      </c>
      <c r="C26" s="177">
        <v>315</v>
      </c>
      <c r="D26" s="179">
        <v>1140</v>
      </c>
      <c r="E26" s="183"/>
      <c r="F26" s="179"/>
    </row>
    <row r="27" spans="1:6">
      <c r="A27" s="177">
        <v>1093900000</v>
      </c>
      <c r="B27" s="177">
        <v>96528</v>
      </c>
      <c r="C27" s="177">
        <v>311</v>
      </c>
      <c r="D27" s="179">
        <v>1713</v>
      </c>
      <c r="E27" s="183"/>
      <c r="F27" s="179"/>
    </row>
    <row r="28" spans="1:6">
      <c r="A28" s="177">
        <v>157700100</v>
      </c>
      <c r="B28" s="177">
        <v>96767</v>
      </c>
      <c r="C28" s="177">
        <v>401</v>
      </c>
      <c r="D28" s="179">
        <v>20</v>
      </c>
      <c r="E28" s="183"/>
      <c r="F28" s="179"/>
    </row>
    <row r="29" spans="1:6">
      <c r="A29" s="177">
        <v>10030100</v>
      </c>
      <c r="B29" s="177">
        <v>100301</v>
      </c>
      <c r="C29" s="177">
        <v>311</v>
      </c>
      <c r="D29" s="179">
        <v>35</v>
      </c>
      <c r="E29" s="183"/>
      <c r="F29" s="179"/>
    </row>
    <row r="30" spans="1:6">
      <c r="A30" s="177">
        <v>10550000</v>
      </c>
      <c r="B30" s="177">
        <v>105500</v>
      </c>
      <c r="C30" s="177">
        <v>508</v>
      </c>
      <c r="D30" s="179">
        <v>170</v>
      </c>
      <c r="E30" s="183"/>
      <c r="F30" s="179"/>
    </row>
    <row r="31" spans="1:6">
      <c r="A31" s="177">
        <v>11740200</v>
      </c>
      <c r="B31" s="177">
        <v>117402</v>
      </c>
      <c r="C31" s="177">
        <v>401</v>
      </c>
      <c r="D31" s="179">
        <v>235</v>
      </c>
      <c r="E31" s="183"/>
      <c r="F31" s="179"/>
    </row>
    <row r="32" spans="1:6">
      <c r="A32" s="177">
        <v>308370000</v>
      </c>
      <c r="B32" s="177">
        <v>155816</v>
      </c>
      <c r="C32" s="177">
        <v>401</v>
      </c>
      <c r="D32" s="179">
        <v>104</v>
      </c>
      <c r="E32" s="183"/>
      <c r="F32" s="179"/>
    </row>
    <row r="33" spans="1:6">
      <c r="A33" s="177">
        <v>18850000</v>
      </c>
      <c r="B33" s="177">
        <v>188500</v>
      </c>
      <c r="C33" s="177">
        <v>311</v>
      </c>
      <c r="D33" s="179">
        <v>49</v>
      </c>
      <c r="E33" s="183"/>
      <c r="F33" s="179"/>
    </row>
    <row r="34" spans="1:6">
      <c r="A34" s="177">
        <v>26960000</v>
      </c>
      <c r="B34" s="177">
        <v>269600</v>
      </c>
      <c r="C34" s="177">
        <v>321</v>
      </c>
      <c r="D34" s="179">
        <v>24</v>
      </c>
      <c r="E34" s="183"/>
      <c r="F34" s="179"/>
    </row>
    <row r="35" spans="1:6">
      <c r="A35" s="177">
        <v>40010000</v>
      </c>
      <c r="B35" s="177">
        <v>274381</v>
      </c>
      <c r="C35" s="177">
        <v>321</v>
      </c>
      <c r="D35" s="179">
        <v>28</v>
      </c>
      <c r="E35" s="183"/>
      <c r="F35" s="179"/>
    </row>
    <row r="36" spans="1:6">
      <c r="A36" s="177">
        <v>40030000</v>
      </c>
      <c r="B36" s="177">
        <v>274381</v>
      </c>
      <c r="C36" s="177">
        <v>321</v>
      </c>
      <c r="D36" s="179">
        <v>30</v>
      </c>
      <c r="E36" s="183"/>
      <c r="F36" s="179"/>
    </row>
    <row r="37" spans="1:6">
      <c r="A37" s="177">
        <v>27540100</v>
      </c>
      <c r="B37" s="177">
        <v>275401</v>
      </c>
      <c r="C37" s="177">
        <v>507</v>
      </c>
      <c r="D37" s="179">
        <v>38</v>
      </c>
      <c r="E37" s="183"/>
      <c r="F37" s="179"/>
    </row>
    <row r="38" spans="1:6">
      <c r="A38" s="177">
        <v>28710000</v>
      </c>
      <c r="B38" s="177">
        <v>287100</v>
      </c>
      <c r="C38" s="177">
        <v>512</v>
      </c>
      <c r="D38" s="179">
        <v>23000</v>
      </c>
      <c r="E38" s="183"/>
      <c r="F38" s="179"/>
    </row>
    <row r="39" spans="1:6">
      <c r="A39" s="177">
        <v>724520000</v>
      </c>
      <c r="B39" s="177">
        <v>288852</v>
      </c>
      <c r="C39" s="177">
        <v>321</v>
      </c>
      <c r="D39" s="179">
        <v>24</v>
      </c>
      <c r="E39" s="183"/>
      <c r="F39" s="179"/>
    </row>
    <row r="40" spans="1:6">
      <c r="A40" s="177">
        <v>29650100</v>
      </c>
      <c r="B40" s="177">
        <v>296501</v>
      </c>
      <c r="C40" s="177">
        <v>416</v>
      </c>
      <c r="D40" s="179">
        <v>20</v>
      </c>
      <c r="E40" s="183"/>
      <c r="F40" s="179"/>
    </row>
    <row r="41" spans="1:6">
      <c r="A41" s="177">
        <v>802750000</v>
      </c>
      <c r="B41" s="177">
        <v>308940</v>
      </c>
      <c r="C41" s="177">
        <v>820</v>
      </c>
      <c r="D41" s="179">
        <v>14</v>
      </c>
      <c r="E41" s="183"/>
      <c r="F41" s="179"/>
    </row>
    <row r="42" spans="1:6">
      <c r="A42" s="177">
        <v>816030000</v>
      </c>
      <c r="B42" s="177">
        <v>334268</v>
      </c>
      <c r="C42" s="177">
        <v>311</v>
      </c>
      <c r="D42" s="179">
        <v>167</v>
      </c>
      <c r="E42" s="183"/>
      <c r="F42" s="179"/>
    </row>
    <row r="43" spans="1:6">
      <c r="A43" s="177">
        <v>816030100</v>
      </c>
      <c r="B43" s="177">
        <v>334268</v>
      </c>
      <c r="C43" s="177">
        <v>810</v>
      </c>
      <c r="D43" s="179">
        <v>53</v>
      </c>
      <c r="E43" s="183"/>
      <c r="F43" s="179"/>
    </row>
    <row r="44" spans="1:6">
      <c r="A44" s="177">
        <v>230714100</v>
      </c>
      <c r="B44" s="177">
        <v>347758</v>
      </c>
      <c r="C44" s="177">
        <v>311</v>
      </c>
      <c r="D44" s="179">
        <v>30</v>
      </c>
      <c r="E44" s="183"/>
      <c r="F44" s="179"/>
    </row>
    <row r="45" spans="1:6">
      <c r="A45" s="177">
        <v>1044320000</v>
      </c>
      <c r="B45" s="177">
        <v>348847</v>
      </c>
      <c r="C45" s="177">
        <v>661</v>
      </c>
      <c r="D45" s="179">
        <v>250</v>
      </c>
      <c r="E45" s="183"/>
      <c r="F45" s="179"/>
    </row>
    <row r="46" spans="1:6">
      <c r="A46" s="177">
        <v>35900000</v>
      </c>
      <c r="B46" s="177">
        <v>359100</v>
      </c>
      <c r="C46" s="177">
        <v>321</v>
      </c>
      <c r="D46" s="179">
        <v>50</v>
      </c>
      <c r="E46" s="183"/>
      <c r="F46" s="179"/>
    </row>
    <row r="47" spans="1:6">
      <c r="A47" s="177">
        <v>36800000</v>
      </c>
      <c r="B47" s="177">
        <v>368000</v>
      </c>
      <c r="C47" s="177">
        <v>507</v>
      </c>
      <c r="D47" s="179">
        <v>118</v>
      </c>
      <c r="E47" s="183"/>
      <c r="F47" s="179"/>
    </row>
    <row r="48" spans="1:6">
      <c r="A48" s="177">
        <v>36810000</v>
      </c>
      <c r="B48" s="177">
        <v>368100</v>
      </c>
      <c r="C48" s="177">
        <v>507</v>
      </c>
      <c r="D48" s="179">
        <v>36</v>
      </c>
      <c r="E48" s="183"/>
      <c r="F48" s="179"/>
    </row>
    <row r="49" spans="1:6">
      <c r="A49" s="177">
        <v>36840000</v>
      </c>
      <c r="B49" s="177">
        <v>368400</v>
      </c>
      <c r="C49" s="177">
        <v>507</v>
      </c>
      <c r="D49" s="179">
        <v>38</v>
      </c>
      <c r="E49" s="183"/>
      <c r="F49" s="179"/>
    </row>
    <row r="50" spans="1:6">
      <c r="A50" s="177">
        <v>39230000</v>
      </c>
      <c r="B50" s="177">
        <v>392300</v>
      </c>
      <c r="C50" s="177">
        <v>507</v>
      </c>
      <c r="D50" s="179">
        <v>121</v>
      </c>
      <c r="E50" s="183"/>
      <c r="F50" s="179"/>
    </row>
    <row r="51" spans="1:6">
      <c r="A51" s="177">
        <v>621730000</v>
      </c>
      <c r="B51" s="177">
        <v>413484</v>
      </c>
      <c r="C51" s="177">
        <v>520</v>
      </c>
      <c r="D51" s="179">
        <v>88</v>
      </c>
      <c r="E51" s="183"/>
      <c r="F51" s="179"/>
    </row>
    <row r="52" spans="1:6">
      <c r="A52" s="177">
        <v>42050000</v>
      </c>
      <c r="B52" s="177">
        <v>420500</v>
      </c>
      <c r="C52" s="177">
        <v>507</v>
      </c>
      <c r="D52" s="179">
        <v>98</v>
      </c>
      <c r="E52" s="183"/>
      <c r="F52" s="179"/>
    </row>
    <row r="53" spans="1:6">
      <c r="A53" s="177">
        <v>45230000</v>
      </c>
      <c r="B53" s="177">
        <v>452300</v>
      </c>
      <c r="C53" s="177">
        <v>321</v>
      </c>
      <c r="D53" s="179">
        <v>44</v>
      </c>
      <c r="E53" s="183"/>
      <c r="F53" s="179"/>
    </row>
    <row r="54" spans="1:6">
      <c r="A54" s="177">
        <v>48280000</v>
      </c>
      <c r="B54" s="177">
        <v>482800</v>
      </c>
      <c r="C54" s="177">
        <v>401</v>
      </c>
      <c r="D54" s="179">
        <v>8989</v>
      </c>
      <c r="E54" s="183"/>
      <c r="F54" s="179"/>
    </row>
    <row r="55" spans="1:6">
      <c r="A55" s="177">
        <v>48280700</v>
      </c>
      <c r="B55" s="177">
        <v>482800</v>
      </c>
      <c r="C55" s="177">
        <v>414</v>
      </c>
      <c r="D55" s="179">
        <v>17534</v>
      </c>
      <c r="E55" s="183"/>
      <c r="F55" s="179"/>
    </row>
    <row r="56" spans="1:6">
      <c r="A56" s="177">
        <v>734540000</v>
      </c>
      <c r="B56" s="177">
        <v>482800</v>
      </c>
      <c r="C56" s="177">
        <v>412</v>
      </c>
      <c r="D56" s="179">
        <v>297</v>
      </c>
      <c r="E56" s="183"/>
      <c r="F56" s="179"/>
    </row>
    <row r="57" spans="1:6">
      <c r="A57" s="177">
        <v>689240000</v>
      </c>
      <c r="B57" s="177">
        <v>493593</v>
      </c>
      <c r="C57" s="177">
        <v>401</v>
      </c>
      <c r="D57" s="179">
        <v>53</v>
      </c>
      <c r="E57" s="183"/>
      <c r="F57" s="179"/>
    </row>
    <row r="58" spans="1:6">
      <c r="A58" s="177">
        <v>37140100</v>
      </c>
      <c r="B58" s="177">
        <v>506923</v>
      </c>
      <c r="C58" s="177">
        <v>507</v>
      </c>
      <c r="D58" s="179">
        <v>81</v>
      </c>
      <c r="E58" s="183"/>
      <c r="F58" s="179"/>
    </row>
    <row r="59" spans="1:6">
      <c r="A59" s="177">
        <v>473950100</v>
      </c>
      <c r="B59" s="177">
        <v>508203</v>
      </c>
      <c r="C59" s="177">
        <v>315</v>
      </c>
      <c r="D59" s="179">
        <v>32</v>
      </c>
      <c r="E59" s="183"/>
      <c r="F59" s="179"/>
    </row>
    <row r="60" spans="1:6">
      <c r="A60" s="177">
        <v>750680000</v>
      </c>
      <c r="B60" s="177">
        <v>524800</v>
      </c>
      <c r="C60" s="177">
        <v>404</v>
      </c>
      <c r="D60" s="179">
        <v>3032</v>
      </c>
      <c r="E60" s="183"/>
      <c r="F60" s="179"/>
    </row>
    <row r="61" spans="1:6">
      <c r="A61" s="177">
        <v>55610300</v>
      </c>
      <c r="B61" s="177">
        <v>556101</v>
      </c>
      <c r="C61" s="177">
        <v>401</v>
      </c>
      <c r="D61" s="179">
        <v>60</v>
      </c>
      <c r="E61" s="183"/>
      <c r="F61" s="179"/>
    </row>
    <row r="62" spans="1:6">
      <c r="A62" s="177">
        <v>724590000</v>
      </c>
      <c r="B62" s="177">
        <v>563619</v>
      </c>
      <c r="C62" s="177">
        <v>401</v>
      </c>
      <c r="D62" s="179">
        <v>552</v>
      </c>
      <c r="E62" s="183"/>
      <c r="F62" s="179"/>
    </row>
    <row r="63" spans="1:6">
      <c r="A63" s="177">
        <v>596230000</v>
      </c>
      <c r="B63" s="177">
        <v>568964</v>
      </c>
      <c r="C63" s="177">
        <v>809</v>
      </c>
      <c r="D63" s="179">
        <v>4</v>
      </c>
      <c r="E63" s="183"/>
      <c r="F63" s="179"/>
    </row>
    <row r="64" spans="1:6">
      <c r="A64" s="177">
        <v>57320000</v>
      </c>
      <c r="B64" s="177">
        <v>573200</v>
      </c>
      <c r="C64" s="177">
        <v>507</v>
      </c>
      <c r="D64" s="179">
        <v>175</v>
      </c>
      <c r="E64" s="183"/>
      <c r="F64" s="179"/>
    </row>
    <row r="65" spans="1:6">
      <c r="A65" s="177">
        <v>57590000</v>
      </c>
      <c r="B65" s="177">
        <v>575900</v>
      </c>
      <c r="C65" s="177">
        <v>507</v>
      </c>
      <c r="D65" s="179">
        <v>160</v>
      </c>
      <c r="E65" s="183"/>
      <c r="F65" s="179"/>
    </row>
    <row r="66" spans="1:6">
      <c r="A66" s="177">
        <v>58020200</v>
      </c>
      <c r="B66" s="177">
        <v>580202</v>
      </c>
      <c r="C66" s="177">
        <v>507</v>
      </c>
      <c r="D66" s="179">
        <v>61</v>
      </c>
      <c r="E66" s="183"/>
      <c r="F66" s="179"/>
    </row>
    <row r="67" spans="1:6">
      <c r="A67" s="177">
        <v>662480100</v>
      </c>
      <c r="B67" s="177">
        <v>582171</v>
      </c>
      <c r="C67" s="177">
        <v>401</v>
      </c>
      <c r="D67" s="179">
        <v>11</v>
      </c>
      <c r="E67" s="183"/>
      <c r="F67" s="179"/>
    </row>
    <row r="68" spans="1:6">
      <c r="A68" s="177">
        <v>65090000</v>
      </c>
      <c r="B68" s="177">
        <v>650900</v>
      </c>
      <c r="C68" s="177">
        <v>507</v>
      </c>
      <c r="D68" s="179">
        <v>89</v>
      </c>
      <c r="E68" s="183"/>
      <c r="F68" s="179"/>
    </row>
    <row r="69" spans="1:6">
      <c r="A69" s="177">
        <v>65820000</v>
      </c>
      <c r="B69" s="177">
        <v>658200</v>
      </c>
      <c r="C69" s="177">
        <v>522</v>
      </c>
      <c r="D69" s="179">
        <v>75</v>
      </c>
      <c r="E69" s="183"/>
      <c r="F69" s="179"/>
    </row>
    <row r="70" spans="1:6">
      <c r="A70" s="177">
        <v>66160100</v>
      </c>
      <c r="B70" s="177">
        <v>661600</v>
      </c>
      <c r="C70" s="177">
        <v>321</v>
      </c>
      <c r="D70" s="179">
        <v>56</v>
      </c>
      <c r="E70" s="183"/>
      <c r="F70" s="179"/>
    </row>
    <row r="71" spans="1:6">
      <c r="A71" s="177">
        <v>145540200</v>
      </c>
      <c r="B71" s="177">
        <v>674291</v>
      </c>
      <c r="C71" s="177">
        <v>311</v>
      </c>
      <c r="D71" s="179">
        <v>66</v>
      </c>
      <c r="E71" s="183"/>
      <c r="F71" s="179"/>
    </row>
    <row r="72" spans="1:6">
      <c r="A72" s="177">
        <v>470570100</v>
      </c>
      <c r="B72" s="177">
        <v>702878</v>
      </c>
      <c r="C72" s="177">
        <v>311</v>
      </c>
      <c r="D72" s="179">
        <v>5</v>
      </c>
      <c r="E72" s="183"/>
      <c r="F72" s="179"/>
    </row>
    <row r="73" spans="1:6">
      <c r="A73" s="177">
        <v>538840000</v>
      </c>
      <c r="B73" s="177">
        <v>705426</v>
      </c>
      <c r="C73" s="177">
        <v>415</v>
      </c>
      <c r="D73" s="179">
        <v>22</v>
      </c>
      <c r="E73" s="183"/>
      <c r="F73" s="179"/>
    </row>
    <row r="74" spans="1:6">
      <c r="A74" s="177">
        <v>192170100</v>
      </c>
      <c r="B74" s="177">
        <v>713750</v>
      </c>
      <c r="C74" s="177">
        <v>311</v>
      </c>
      <c r="D74" s="179">
        <v>17</v>
      </c>
      <c r="E74" s="183"/>
      <c r="F74" s="179"/>
    </row>
    <row r="75" spans="1:6">
      <c r="A75" s="177">
        <v>73810100</v>
      </c>
      <c r="B75" s="177">
        <v>738101</v>
      </c>
      <c r="C75" s="177">
        <v>415</v>
      </c>
      <c r="D75" s="179">
        <v>31</v>
      </c>
      <c r="E75" s="183"/>
      <c r="F75" s="179"/>
    </row>
    <row r="76" spans="1:6">
      <c r="A76" s="177">
        <v>596660000</v>
      </c>
      <c r="B76" s="177">
        <v>795856</v>
      </c>
      <c r="C76" s="177">
        <v>809</v>
      </c>
      <c r="D76" s="179">
        <v>4</v>
      </c>
      <c r="E76" s="183"/>
      <c r="F76" s="179"/>
    </row>
    <row r="77" spans="1:6">
      <c r="A77" s="177">
        <v>80630000</v>
      </c>
      <c r="B77" s="177">
        <v>806300</v>
      </c>
      <c r="C77" s="177">
        <v>803</v>
      </c>
      <c r="D77" s="179">
        <v>923</v>
      </c>
      <c r="E77" s="183"/>
      <c r="F77" s="179"/>
    </row>
    <row r="78" spans="1:6">
      <c r="A78" s="177">
        <v>84970001</v>
      </c>
      <c r="B78" s="177">
        <v>849701</v>
      </c>
      <c r="C78" s="177">
        <v>507</v>
      </c>
      <c r="D78" s="179">
        <v>78</v>
      </c>
      <c r="E78" s="183"/>
      <c r="F78" s="179"/>
    </row>
    <row r="79" spans="1:6">
      <c r="A79" s="177">
        <v>5920100</v>
      </c>
      <c r="B79" s="177">
        <v>862474</v>
      </c>
      <c r="C79" s="177">
        <v>401</v>
      </c>
      <c r="D79" s="179">
        <v>10</v>
      </c>
      <c r="E79" s="183"/>
      <c r="F79" s="179"/>
    </row>
    <row r="80" spans="1:6">
      <c r="A80" s="177">
        <v>671250100</v>
      </c>
      <c r="B80" s="177">
        <v>865451</v>
      </c>
      <c r="C80" s="177">
        <v>311</v>
      </c>
      <c r="D80" s="179">
        <v>39</v>
      </c>
      <c r="E80" s="183"/>
      <c r="F80" s="179"/>
    </row>
    <row r="81" spans="1:6">
      <c r="A81" s="177">
        <v>86590000</v>
      </c>
      <c r="B81" s="177">
        <v>865900</v>
      </c>
      <c r="C81" s="177">
        <v>802</v>
      </c>
      <c r="D81" s="179">
        <v>6231</v>
      </c>
      <c r="E81" s="183"/>
      <c r="F81" s="179"/>
    </row>
    <row r="82" spans="1:6">
      <c r="A82" s="177">
        <v>86620000</v>
      </c>
      <c r="B82" s="177">
        <v>866200</v>
      </c>
      <c r="C82" s="177">
        <v>315</v>
      </c>
      <c r="D82" s="179">
        <v>315</v>
      </c>
      <c r="E82" s="183"/>
      <c r="F82" s="179"/>
    </row>
    <row r="83" spans="1:6">
      <c r="A83" s="177">
        <v>86630000</v>
      </c>
      <c r="B83" s="177">
        <v>866300</v>
      </c>
      <c r="C83" s="177">
        <v>401</v>
      </c>
      <c r="D83" s="179">
        <v>60</v>
      </c>
      <c r="E83" s="183"/>
      <c r="F83" s="179"/>
    </row>
    <row r="84" spans="1:6">
      <c r="A84" s="177">
        <v>88460300</v>
      </c>
      <c r="B84" s="177">
        <v>867100</v>
      </c>
      <c r="C84" s="177">
        <v>315</v>
      </c>
      <c r="D84" s="179">
        <v>7139</v>
      </c>
      <c r="E84" s="183"/>
      <c r="F84" s="179"/>
    </row>
    <row r="85" spans="1:6">
      <c r="A85" s="177">
        <v>982160000</v>
      </c>
      <c r="B85" s="177">
        <v>869487</v>
      </c>
      <c r="C85" s="177">
        <v>311</v>
      </c>
      <c r="D85" s="179">
        <v>93</v>
      </c>
      <c r="E85" s="183"/>
      <c r="F85" s="179"/>
    </row>
    <row r="86" spans="1:6">
      <c r="A86" s="177">
        <v>994120000</v>
      </c>
      <c r="B86" s="177">
        <v>869487</v>
      </c>
      <c r="C86" s="177">
        <v>311</v>
      </c>
      <c r="D86" s="179">
        <v>43</v>
      </c>
      <c r="E86" s="183"/>
      <c r="F86" s="179"/>
    </row>
    <row r="87" spans="1:6">
      <c r="A87" s="177">
        <v>1014880000</v>
      </c>
      <c r="B87" s="177">
        <v>869487</v>
      </c>
      <c r="C87" s="177">
        <v>805</v>
      </c>
      <c r="D87" s="179">
        <v>207</v>
      </c>
      <c r="E87" s="183"/>
      <c r="F87" s="179"/>
    </row>
    <row r="88" spans="1:6">
      <c r="A88" s="177">
        <v>86980000</v>
      </c>
      <c r="B88" s="177">
        <v>869800</v>
      </c>
      <c r="C88" s="177">
        <v>401</v>
      </c>
      <c r="D88" s="179">
        <v>107</v>
      </c>
      <c r="E88" s="183"/>
      <c r="F88" s="179"/>
    </row>
    <row r="89" spans="1:6">
      <c r="A89" s="177">
        <v>400062800</v>
      </c>
      <c r="B89" s="177">
        <v>880633</v>
      </c>
      <c r="C89" s="177">
        <v>661</v>
      </c>
      <c r="D89" s="179">
        <v>520</v>
      </c>
      <c r="E89" s="183"/>
      <c r="F89" s="179"/>
    </row>
    <row r="90" spans="1:6">
      <c r="A90" s="177">
        <v>88120000</v>
      </c>
      <c r="B90" s="177">
        <v>881200</v>
      </c>
      <c r="C90" s="177">
        <v>401</v>
      </c>
      <c r="D90" s="179">
        <v>311</v>
      </c>
      <c r="E90" s="183"/>
      <c r="F90" s="179"/>
    </row>
    <row r="91" spans="1:6">
      <c r="A91" s="177">
        <v>88300000</v>
      </c>
      <c r="B91" s="177">
        <v>883000</v>
      </c>
      <c r="C91" s="177">
        <v>401</v>
      </c>
      <c r="D91" s="179">
        <v>317</v>
      </c>
      <c r="E91" s="183"/>
      <c r="F91" s="179"/>
    </row>
    <row r="92" spans="1:6">
      <c r="A92" s="177">
        <v>88300200</v>
      </c>
      <c r="B92" s="177">
        <v>883000</v>
      </c>
      <c r="C92" s="177">
        <v>810</v>
      </c>
      <c r="D92" s="179">
        <v>716</v>
      </c>
      <c r="E92" s="183"/>
      <c r="F92" s="179"/>
    </row>
    <row r="93" spans="1:6">
      <c r="A93" s="177">
        <v>89710100</v>
      </c>
      <c r="B93" s="177">
        <v>887101</v>
      </c>
      <c r="C93" s="177">
        <v>410</v>
      </c>
      <c r="D93" s="179">
        <v>5183</v>
      </c>
      <c r="E93" s="183"/>
      <c r="F93" s="179"/>
    </row>
    <row r="94" spans="1:6">
      <c r="A94" s="177">
        <v>626840000</v>
      </c>
      <c r="B94" s="177">
        <v>887101</v>
      </c>
      <c r="C94" s="177">
        <v>390</v>
      </c>
      <c r="D94" s="179">
        <v>3762</v>
      </c>
      <c r="E94" s="183"/>
      <c r="F94" s="179"/>
    </row>
    <row r="95" spans="1:6">
      <c r="A95" s="177">
        <v>88810000</v>
      </c>
      <c r="B95" s="177">
        <v>888100</v>
      </c>
      <c r="C95" s="177">
        <v>311</v>
      </c>
      <c r="D95" s="179">
        <v>1243</v>
      </c>
      <c r="E95" s="183"/>
      <c r="F95" s="179"/>
    </row>
    <row r="96" spans="1:6">
      <c r="A96" s="177">
        <v>88890000</v>
      </c>
      <c r="B96" s="177">
        <v>888900</v>
      </c>
      <c r="C96" s="177">
        <v>311</v>
      </c>
      <c r="D96" s="179">
        <v>362</v>
      </c>
      <c r="E96" s="183"/>
      <c r="F96" s="179"/>
    </row>
    <row r="97" spans="1:6">
      <c r="A97" s="177">
        <v>89040000</v>
      </c>
      <c r="B97" s="177">
        <v>890400</v>
      </c>
      <c r="C97" s="177">
        <v>401</v>
      </c>
      <c r="D97" s="179">
        <v>1092</v>
      </c>
      <c r="E97" s="183"/>
      <c r="F97" s="179"/>
    </row>
    <row r="98" spans="1:6">
      <c r="A98" s="177">
        <v>89170000</v>
      </c>
      <c r="B98" s="177">
        <v>891700</v>
      </c>
      <c r="C98" s="177">
        <v>401</v>
      </c>
      <c r="D98" s="179">
        <v>38</v>
      </c>
      <c r="E98" s="183"/>
      <c r="F98" s="179"/>
    </row>
    <row r="99" spans="1:6">
      <c r="A99" s="177">
        <v>89250100</v>
      </c>
      <c r="B99" s="177">
        <v>892501</v>
      </c>
      <c r="C99" s="177">
        <v>401</v>
      </c>
      <c r="D99" s="179">
        <v>638</v>
      </c>
      <c r="E99" s="183"/>
      <c r="F99" s="179"/>
    </row>
    <row r="100" spans="1:6">
      <c r="A100" s="177">
        <v>89290000</v>
      </c>
      <c r="B100" s="177">
        <v>892900</v>
      </c>
      <c r="C100" s="177">
        <v>311</v>
      </c>
      <c r="D100" s="179">
        <v>139</v>
      </c>
      <c r="E100" s="183"/>
      <c r="F100" s="179"/>
    </row>
    <row r="101" spans="1:6">
      <c r="A101" s="177">
        <v>89520500</v>
      </c>
      <c r="B101" s="177">
        <v>895200</v>
      </c>
      <c r="C101" s="177">
        <v>390</v>
      </c>
      <c r="D101" s="179">
        <v>7152</v>
      </c>
      <c r="E101" s="183"/>
      <c r="F101" s="179"/>
    </row>
    <row r="102" spans="1:6">
      <c r="A102" s="177">
        <v>478550000</v>
      </c>
      <c r="B102" s="177">
        <v>895200</v>
      </c>
      <c r="C102" s="177">
        <v>407</v>
      </c>
      <c r="D102" s="179">
        <v>340</v>
      </c>
      <c r="E102" s="183"/>
      <c r="F102" s="179"/>
    </row>
    <row r="103" spans="1:6">
      <c r="A103" s="177">
        <v>89520400</v>
      </c>
      <c r="B103" s="177">
        <v>895204</v>
      </c>
      <c r="C103" s="177">
        <v>407</v>
      </c>
      <c r="D103" s="179">
        <v>240</v>
      </c>
      <c r="E103" s="183"/>
      <c r="F103" s="179"/>
    </row>
    <row r="104" spans="1:6">
      <c r="A104" s="177">
        <v>89550100</v>
      </c>
      <c r="B104" s="177">
        <v>895501</v>
      </c>
      <c r="C104" s="177">
        <v>401</v>
      </c>
      <c r="D104" s="179">
        <v>300</v>
      </c>
      <c r="E104" s="183"/>
      <c r="F104" s="179"/>
    </row>
    <row r="105" spans="1:6">
      <c r="A105" s="177">
        <v>89630000</v>
      </c>
      <c r="B105" s="177">
        <v>896300</v>
      </c>
      <c r="C105" s="177">
        <v>401</v>
      </c>
      <c r="D105" s="179">
        <v>3340</v>
      </c>
      <c r="E105" s="183"/>
      <c r="F105" s="179"/>
    </row>
    <row r="106" spans="1:6">
      <c r="A106" s="177">
        <v>89690200</v>
      </c>
      <c r="B106" s="177">
        <v>896902</v>
      </c>
      <c r="C106" s="177">
        <v>411</v>
      </c>
      <c r="D106" s="179">
        <v>2197</v>
      </c>
      <c r="E106" s="183"/>
      <c r="F106" s="179"/>
    </row>
    <row r="107" spans="1:6">
      <c r="A107" s="177">
        <v>627260000</v>
      </c>
      <c r="B107" s="177">
        <v>897200</v>
      </c>
      <c r="C107" s="177">
        <v>390</v>
      </c>
      <c r="D107" s="179">
        <v>25927</v>
      </c>
      <c r="E107" s="183"/>
      <c r="F107" s="179"/>
    </row>
    <row r="108" spans="1:6">
      <c r="A108" s="177">
        <v>89760000</v>
      </c>
      <c r="B108" s="177">
        <v>897600</v>
      </c>
      <c r="C108" s="177">
        <v>802</v>
      </c>
      <c r="D108" s="179">
        <v>16521</v>
      </c>
      <c r="E108" s="183"/>
      <c r="F108" s="179"/>
    </row>
    <row r="109" spans="1:6">
      <c r="A109" s="177">
        <v>89800000</v>
      </c>
      <c r="B109" s="177">
        <v>898000</v>
      </c>
      <c r="C109" s="177">
        <v>401</v>
      </c>
      <c r="D109" s="179">
        <v>447</v>
      </c>
      <c r="E109" s="183"/>
      <c r="F109" s="179"/>
    </row>
    <row r="110" spans="1:6">
      <c r="A110" s="177">
        <v>91280000</v>
      </c>
      <c r="B110" s="177">
        <v>912800</v>
      </c>
      <c r="C110" s="177">
        <v>321</v>
      </c>
      <c r="D110" s="179">
        <v>50</v>
      </c>
      <c r="E110" s="183"/>
      <c r="F110" s="179"/>
    </row>
    <row r="111" spans="1:6">
      <c r="A111" s="177">
        <v>91460200</v>
      </c>
      <c r="B111" s="177">
        <v>914602</v>
      </c>
      <c r="C111" s="177">
        <v>507</v>
      </c>
      <c r="D111" s="179">
        <v>260</v>
      </c>
      <c r="E111" s="183"/>
      <c r="F111" s="179"/>
    </row>
    <row r="112" spans="1:6">
      <c r="A112" s="177">
        <v>91460400</v>
      </c>
      <c r="B112" s="177">
        <v>914604</v>
      </c>
      <c r="C112" s="177">
        <v>507</v>
      </c>
      <c r="D112" s="179">
        <v>999</v>
      </c>
      <c r="E112" s="183"/>
      <c r="F112" s="179"/>
    </row>
    <row r="113" spans="1:6">
      <c r="A113" s="177">
        <v>400057500</v>
      </c>
      <c r="B113" s="177">
        <v>916072</v>
      </c>
      <c r="C113" s="177">
        <v>661</v>
      </c>
      <c r="D113" s="179">
        <v>2120</v>
      </c>
      <c r="E113" s="183"/>
      <c r="F113" s="179"/>
    </row>
    <row r="114" spans="1:6">
      <c r="A114" s="177">
        <v>95300000</v>
      </c>
      <c r="B114" s="177">
        <v>953000</v>
      </c>
      <c r="C114" s="177">
        <v>507</v>
      </c>
      <c r="D114" s="179">
        <v>456</v>
      </c>
      <c r="E114" s="183"/>
      <c r="F114" s="179"/>
    </row>
    <row r="115" spans="1:6">
      <c r="A115" s="177">
        <v>95310000</v>
      </c>
      <c r="B115" s="177">
        <v>953100</v>
      </c>
      <c r="C115" s="177">
        <v>507</v>
      </c>
      <c r="D115" s="179">
        <v>105</v>
      </c>
      <c r="E115" s="183"/>
      <c r="F115" s="179"/>
    </row>
    <row r="116" spans="1:6">
      <c r="A116" s="177">
        <v>98230000</v>
      </c>
      <c r="B116" s="177">
        <v>982300</v>
      </c>
      <c r="C116" s="177">
        <v>882</v>
      </c>
      <c r="D116" s="179">
        <v>2955</v>
      </c>
      <c r="E116" s="183"/>
      <c r="F116" s="179"/>
    </row>
    <row r="117" spans="1:6">
      <c r="A117" s="177">
        <v>99110000</v>
      </c>
      <c r="B117" s="177">
        <v>991100</v>
      </c>
      <c r="C117" s="177">
        <v>507</v>
      </c>
      <c r="D117" s="179">
        <v>151</v>
      </c>
      <c r="E117" s="183"/>
      <c r="F117" s="179"/>
    </row>
    <row r="118" spans="1:6">
      <c r="A118" s="177">
        <v>99730000</v>
      </c>
      <c r="B118" s="177">
        <v>997300</v>
      </c>
      <c r="C118" s="177">
        <v>507</v>
      </c>
      <c r="D118" s="179">
        <v>500</v>
      </c>
      <c r="E118" s="183"/>
      <c r="F118" s="179"/>
    </row>
    <row r="119" spans="1:6">
      <c r="A119" s="177">
        <v>238810100</v>
      </c>
      <c r="B119" s="177">
        <v>1034638</v>
      </c>
      <c r="C119" s="177">
        <v>311</v>
      </c>
      <c r="D119" s="179">
        <v>79</v>
      </c>
      <c r="E119" s="183"/>
      <c r="F119" s="179"/>
    </row>
    <row r="120" spans="1:6">
      <c r="A120" s="177">
        <v>522290000</v>
      </c>
      <c r="B120" s="177">
        <v>1062520</v>
      </c>
      <c r="C120" s="177">
        <v>311</v>
      </c>
      <c r="D120" s="179">
        <v>41</v>
      </c>
      <c r="E120" s="183"/>
      <c r="F120" s="179"/>
    </row>
    <row r="121" spans="1:6">
      <c r="A121" s="177">
        <v>377600000</v>
      </c>
      <c r="B121" s="177">
        <v>1146420</v>
      </c>
      <c r="C121" s="177">
        <v>311</v>
      </c>
      <c r="D121" s="179">
        <v>26</v>
      </c>
      <c r="E121" s="183"/>
      <c r="F121" s="179"/>
    </row>
    <row r="122" spans="1:6">
      <c r="A122" s="177">
        <v>230770200</v>
      </c>
      <c r="B122" s="177">
        <v>1151501</v>
      </c>
      <c r="C122" s="177">
        <v>311</v>
      </c>
      <c r="D122" s="179">
        <v>58</v>
      </c>
      <c r="E122" s="183"/>
      <c r="F122" s="179"/>
    </row>
    <row r="123" spans="1:6">
      <c r="A123" s="177">
        <v>119140000</v>
      </c>
      <c r="B123" s="177">
        <v>1191400</v>
      </c>
      <c r="C123" s="177">
        <v>401</v>
      </c>
      <c r="D123" s="179">
        <v>80</v>
      </c>
      <c r="E123" s="183"/>
      <c r="F123" s="179"/>
    </row>
    <row r="124" spans="1:6">
      <c r="A124" s="177">
        <v>119740000</v>
      </c>
      <c r="B124" s="177">
        <v>1197400</v>
      </c>
      <c r="C124" s="177">
        <v>315</v>
      </c>
      <c r="D124" s="179">
        <v>19</v>
      </c>
      <c r="E124" s="183"/>
      <c r="F124" s="179"/>
    </row>
    <row r="125" spans="1:6">
      <c r="A125" s="177">
        <v>120860000</v>
      </c>
      <c r="B125" s="177">
        <v>1208600</v>
      </c>
      <c r="C125" s="177">
        <v>902</v>
      </c>
      <c r="D125" s="179">
        <v>1035</v>
      </c>
      <c r="E125" s="183"/>
      <c r="F125" s="179"/>
    </row>
    <row r="126" spans="1:6">
      <c r="A126" s="177">
        <v>121070000</v>
      </c>
      <c r="B126" s="177">
        <v>1210700</v>
      </c>
      <c r="C126" s="177">
        <v>507</v>
      </c>
      <c r="D126" s="179">
        <v>70</v>
      </c>
      <c r="E126" s="183"/>
      <c r="F126" s="179"/>
    </row>
    <row r="127" spans="1:6">
      <c r="A127" s="177">
        <v>671630000</v>
      </c>
      <c r="B127" s="177">
        <v>1253000</v>
      </c>
      <c r="C127" s="177">
        <v>311</v>
      </c>
      <c r="D127" s="179">
        <v>49</v>
      </c>
      <c r="E127" s="183"/>
      <c r="F127" s="179"/>
    </row>
    <row r="128" spans="1:6">
      <c r="A128" s="177">
        <v>127380200</v>
      </c>
      <c r="B128" s="177">
        <v>1273802</v>
      </c>
      <c r="C128" s="177">
        <v>401</v>
      </c>
      <c r="D128" s="179">
        <v>100</v>
      </c>
      <c r="E128" s="183"/>
      <c r="F128" s="179"/>
    </row>
    <row r="129" spans="1:6">
      <c r="A129" s="177">
        <v>129740000</v>
      </c>
      <c r="B129" s="177">
        <v>1297400</v>
      </c>
      <c r="C129" s="177">
        <v>311</v>
      </c>
      <c r="D129" s="179">
        <v>75</v>
      </c>
      <c r="E129" s="183"/>
      <c r="F129" s="179"/>
    </row>
    <row r="130" spans="1:6">
      <c r="A130" s="177">
        <v>129970000</v>
      </c>
      <c r="B130" s="177">
        <v>1299700</v>
      </c>
      <c r="C130" s="177">
        <v>311</v>
      </c>
      <c r="D130" s="179">
        <v>63</v>
      </c>
      <c r="E130" s="183"/>
      <c r="F130" s="179"/>
    </row>
    <row r="131" spans="1:6">
      <c r="A131" s="177">
        <v>132410000</v>
      </c>
      <c r="B131" s="177">
        <v>1324100</v>
      </c>
      <c r="C131" s="177">
        <v>311</v>
      </c>
      <c r="D131" s="179">
        <v>60</v>
      </c>
      <c r="E131" s="183"/>
      <c r="F131" s="179"/>
    </row>
    <row r="132" spans="1:6">
      <c r="A132" s="177">
        <v>132830000</v>
      </c>
      <c r="B132" s="177">
        <v>1328300</v>
      </c>
      <c r="C132" s="177">
        <v>401</v>
      </c>
      <c r="D132" s="179">
        <v>57</v>
      </c>
      <c r="E132" s="183"/>
      <c r="F132" s="179"/>
    </row>
    <row r="133" spans="1:6">
      <c r="A133" s="177">
        <v>133050000</v>
      </c>
      <c r="B133" s="177">
        <v>1330500</v>
      </c>
      <c r="C133" s="177">
        <v>311</v>
      </c>
      <c r="D133" s="179">
        <v>30</v>
      </c>
      <c r="E133" s="183"/>
      <c r="F133" s="179"/>
    </row>
    <row r="134" spans="1:6">
      <c r="A134" s="177">
        <v>133170000</v>
      </c>
      <c r="B134" s="177">
        <v>1331700</v>
      </c>
      <c r="C134" s="177">
        <v>311</v>
      </c>
      <c r="D134" s="179">
        <v>38</v>
      </c>
      <c r="E134" s="183"/>
      <c r="F134" s="179"/>
    </row>
    <row r="135" spans="1:6">
      <c r="A135" s="177">
        <v>133180000</v>
      </c>
      <c r="B135" s="177">
        <v>1331800</v>
      </c>
      <c r="C135" s="177">
        <v>311</v>
      </c>
      <c r="D135" s="179">
        <v>17</v>
      </c>
      <c r="E135" s="183"/>
      <c r="F135" s="179"/>
    </row>
    <row r="136" spans="1:6">
      <c r="A136" s="177">
        <v>133240000</v>
      </c>
      <c r="B136" s="177">
        <v>1332400</v>
      </c>
      <c r="C136" s="177">
        <v>311</v>
      </c>
      <c r="D136" s="179">
        <v>36</v>
      </c>
      <c r="E136" s="183"/>
      <c r="F136" s="179"/>
    </row>
    <row r="137" spans="1:6">
      <c r="A137" s="177">
        <v>133340000</v>
      </c>
      <c r="B137" s="177">
        <v>1333400</v>
      </c>
      <c r="C137" s="177">
        <v>311</v>
      </c>
      <c r="D137" s="179">
        <v>16</v>
      </c>
      <c r="E137" s="183"/>
      <c r="F137" s="179"/>
    </row>
    <row r="138" spans="1:6">
      <c r="A138" s="177">
        <v>829860000</v>
      </c>
      <c r="B138" s="177">
        <v>1336502</v>
      </c>
      <c r="C138" s="177">
        <v>311</v>
      </c>
      <c r="D138" s="179">
        <v>66</v>
      </c>
      <c r="E138" s="183"/>
      <c r="F138" s="179"/>
    </row>
    <row r="139" spans="1:6">
      <c r="A139" s="177">
        <v>134020000</v>
      </c>
      <c r="B139" s="177">
        <v>1340200</v>
      </c>
      <c r="C139" s="177">
        <v>311</v>
      </c>
      <c r="D139" s="179">
        <v>49</v>
      </c>
      <c r="E139" s="183"/>
      <c r="F139" s="179"/>
    </row>
    <row r="140" spans="1:6">
      <c r="A140" s="177">
        <v>134020100</v>
      </c>
      <c r="B140" s="177">
        <v>1340200</v>
      </c>
      <c r="C140" s="177">
        <v>311</v>
      </c>
      <c r="D140" s="179">
        <v>26</v>
      </c>
      <c r="E140" s="183"/>
      <c r="F140" s="179"/>
    </row>
    <row r="141" spans="1:6">
      <c r="A141" s="177">
        <v>400190600</v>
      </c>
      <c r="B141" s="177">
        <v>1349281</v>
      </c>
      <c r="C141" s="177">
        <v>661</v>
      </c>
      <c r="D141" s="179">
        <v>500</v>
      </c>
      <c r="E141" s="183"/>
      <c r="F141" s="179"/>
    </row>
    <row r="142" spans="1:6">
      <c r="A142" s="177">
        <v>817470000</v>
      </c>
      <c r="B142" s="177">
        <v>1367800</v>
      </c>
      <c r="C142" s="177">
        <v>311</v>
      </c>
      <c r="D142" s="179">
        <v>1163</v>
      </c>
      <c r="E142" s="183"/>
      <c r="F142" s="179"/>
    </row>
    <row r="143" spans="1:6">
      <c r="A143" s="177">
        <v>817470100</v>
      </c>
      <c r="B143" s="177">
        <v>1367800</v>
      </c>
      <c r="C143" s="177">
        <v>810</v>
      </c>
      <c r="D143" s="179">
        <v>1010</v>
      </c>
      <c r="E143" s="183"/>
      <c r="F143" s="179"/>
    </row>
    <row r="144" spans="1:6">
      <c r="A144" s="177">
        <v>765260000</v>
      </c>
      <c r="B144" s="177">
        <v>1368400</v>
      </c>
      <c r="C144" s="177">
        <v>313</v>
      </c>
      <c r="D144" s="179">
        <v>921</v>
      </c>
      <c r="E144" s="183"/>
      <c r="F144" s="179"/>
    </row>
    <row r="145" spans="1:6">
      <c r="A145" s="177">
        <v>136920000</v>
      </c>
      <c r="B145" s="177">
        <v>1369200</v>
      </c>
      <c r="C145" s="177">
        <v>507</v>
      </c>
      <c r="D145" s="179">
        <v>227</v>
      </c>
      <c r="E145" s="183"/>
      <c r="F145" s="179"/>
    </row>
    <row r="146" spans="1:6">
      <c r="A146" s="177">
        <v>440660000</v>
      </c>
      <c r="B146" s="177">
        <v>1369800</v>
      </c>
      <c r="C146" s="177">
        <v>513</v>
      </c>
      <c r="D146" s="179">
        <v>178</v>
      </c>
      <c r="E146" s="183"/>
      <c r="F146" s="179"/>
    </row>
    <row r="147" spans="1:6">
      <c r="A147" s="177">
        <v>137130100</v>
      </c>
      <c r="B147" s="177">
        <v>1371301</v>
      </c>
      <c r="C147" s="177">
        <v>311</v>
      </c>
      <c r="D147" s="179">
        <v>80</v>
      </c>
      <c r="E147" s="183"/>
      <c r="F147" s="179"/>
    </row>
    <row r="148" spans="1:6">
      <c r="A148" s="177">
        <v>545460000</v>
      </c>
      <c r="B148" s="177">
        <v>1372500</v>
      </c>
      <c r="C148" s="177">
        <v>311</v>
      </c>
      <c r="D148" s="179">
        <v>37</v>
      </c>
      <c r="E148" s="183"/>
      <c r="F148" s="179"/>
    </row>
    <row r="149" spans="1:6">
      <c r="A149" s="177">
        <v>155110100</v>
      </c>
      <c r="B149" s="177">
        <v>1377100</v>
      </c>
      <c r="C149" s="177">
        <v>311</v>
      </c>
      <c r="D149" s="179">
        <v>91</v>
      </c>
      <c r="E149" s="183"/>
      <c r="F149" s="179"/>
    </row>
    <row r="150" spans="1:6">
      <c r="A150" s="177">
        <v>109980100</v>
      </c>
      <c r="B150" s="177">
        <v>1380864</v>
      </c>
      <c r="C150" s="177">
        <v>311</v>
      </c>
      <c r="D150" s="179">
        <v>42</v>
      </c>
      <c r="E150" s="183"/>
      <c r="F150" s="179"/>
    </row>
    <row r="151" spans="1:6">
      <c r="A151" s="177">
        <v>138780300</v>
      </c>
      <c r="B151" s="177">
        <v>1387802</v>
      </c>
      <c r="C151" s="177">
        <v>311</v>
      </c>
      <c r="D151" s="179">
        <v>112</v>
      </c>
      <c r="E151" s="183"/>
      <c r="F151" s="179"/>
    </row>
    <row r="152" spans="1:6">
      <c r="A152" s="177">
        <v>140320000</v>
      </c>
      <c r="B152" s="177">
        <v>1403200</v>
      </c>
      <c r="C152" s="177">
        <v>401</v>
      </c>
      <c r="D152" s="179">
        <v>16</v>
      </c>
      <c r="E152" s="183"/>
      <c r="F152" s="179"/>
    </row>
    <row r="153" spans="1:6">
      <c r="A153" s="177">
        <v>648910000</v>
      </c>
      <c r="B153" s="177">
        <v>1410101</v>
      </c>
      <c r="C153" s="177">
        <v>810</v>
      </c>
      <c r="D153" s="179">
        <v>815</v>
      </c>
      <c r="E153" s="183"/>
      <c r="F153" s="179"/>
    </row>
    <row r="154" spans="1:6">
      <c r="A154" s="177">
        <v>648920000</v>
      </c>
      <c r="B154" s="177">
        <v>1410101</v>
      </c>
      <c r="C154" s="177">
        <v>313</v>
      </c>
      <c r="D154" s="179">
        <v>2357</v>
      </c>
      <c r="E154" s="183"/>
      <c r="F154" s="179"/>
    </row>
    <row r="155" spans="1:6">
      <c r="A155" s="177">
        <v>648930000</v>
      </c>
      <c r="B155" s="177">
        <v>1410101</v>
      </c>
      <c r="C155" s="177">
        <v>313</v>
      </c>
      <c r="D155" s="179">
        <v>993</v>
      </c>
      <c r="E155" s="183"/>
      <c r="F155" s="179"/>
    </row>
    <row r="156" spans="1:6">
      <c r="A156" s="177">
        <v>730010000</v>
      </c>
      <c r="B156" s="177">
        <v>1410101</v>
      </c>
      <c r="C156" s="177">
        <v>313</v>
      </c>
      <c r="D156" s="179">
        <v>415</v>
      </c>
      <c r="E156" s="183"/>
      <c r="F156" s="179"/>
    </row>
    <row r="157" spans="1:6">
      <c r="A157" s="177">
        <v>141250000</v>
      </c>
      <c r="B157" s="177">
        <v>1412500</v>
      </c>
      <c r="C157" s="177">
        <v>507</v>
      </c>
      <c r="D157" s="179">
        <v>110</v>
      </c>
      <c r="E157" s="183"/>
      <c r="F157" s="179"/>
    </row>
    <row r="158" spans="1:6">
      <c r="A158" s="177">
        <v>141820300</v>
      </c>
      <c r="B158" s="177">
        <v>1418203</v>
      </c>
      <c r="C158" s="177">
        <v>507</v>
      </c>
      <c r="D158" s="179">
        <v>139</v>
      </c>
      <c r="E158" s="183"/>
      <c r="F158" s="179"/>
    </row>
    <row r="159" spans="1:6">
      <c r="A159" s="177">
        <v>142190000</v>
      </c>
      <c r="B159" s="177">
        <v>1421900</v>
      </c>
      <c r="C159" s="177">
        <v>311</v>
      </c>
      <c r="D159" s="179">
        <v>35</v>
      </c>
      <c r="E159" s="183"/>
      <c r="F159" s="179"/>
    </row>
    <row r="160" spans="1:6">
      <c r="A160" s="177">
        <v>143290000</v>
      </c>
      <c r="B160" s="177">
        <v>1432900</v>
      </c>
      <c r="C160" s="177">
        <v>401</v>
      </c>
      <c r="D160" s="179">
        <v>49</v>
      </c>
      <c r="E160" s="183"/>
      <c r="F160" s="179"/>
    </row>
    <row r="161" spans="1:6">
      <c r="A161" s="177">
        <v>287700000</v>
      </c>
      <c r="B161" s="177">
        <v>1438341</v>
      </c>
      <c r="C161" s="177">
        <v>507</v>
      </c>
      <c r="D161" s="179">
        <v>213</v>
      </c>
      <c r="E161" s="183"/>
      <c r="F161" s="179"/>
    </row>
    <row r="162" spans="1:6">
      <c r="A162" s="177">
        <v>144700000</v>
      </c>
      <c r="B162" s="177">
        <v>1447000</v>
      </c>
      <c r="C162" s="177">
        <v>311</v>
      </c>
      <c r="D162" s="179">
        <v>32</v>
      </c>
      <c r="E162" s="183"/>
      <c r="F162" s="179"/>
    </row>
    <row r="163" spans="1:6">
      <c r="A163" s="177">
        <v>144870000</v>
      </c>
      <c r="B163" s="177">
        <v>1448700</v>
      </c>
      <c r="C163" s="177">
        <v>507</v>
      </c>
      <c r="D163" s="179">
        <v>160</v>
      </c>
      <c r="E163" s="183"/>
      <c r="F163" s="179"/>
    </row>
    <row r="164" spans="1:6">
      <c r="A164" s="177">
        <v>204490000</v>
      </c>
      <c r="B164" s="177">
        <v>1452804</v>
      </c>
      <c r="C164" s="177">
        <v>321</v>
      </c>
      <c r="D164" s="179">
        <v>59</v>
      </c>
      <c r="E164" s="183"/>
      <c r="F164" s="179"/>
    </row>
    <row r="165" spans="1:6">
      <c r="A165" s="177">
        <v>145450000</v>
      </c>
      <c r="B165" s="177">
        <v>1454500</v>
      </c>
      <c r="C165" s="177">
        <v>311</v>
      </c>
      <c r="D165" s="179">
        <v>20</v>
      </c>
      <c r="E165" s="183"/>
      <c r="F165" s="179"/>
    </row>
    <row r="166" spans="1:6">
      <c r="A166" s="177">
        <v>615900000</v>
      </c>
      <c r="B166" s="177">
        <v>1454500</v>
      </c>
      <c r="C166" s="177">
        <v>312</v>
      </c>
      <c r="D166" s="179">
        <v>11</v>
      </c>
      <c r="E166" s="183"/>
      <c r="F166" s="179"/>
    </row>
    <row r="167" spans="1:6">
      <c r="A167" s="177">
        <v>145610000</v>
      </c>
      <c r="B167" s="177">
        <v>1456100</v>
      </c>
      <c r="C167" s="177">
        <v>401</v>
      </c>
      <c r="D167" s="179">
        <v>5</v>
      </c>
      <c r="E167" s="183"/>
      <c r="F167" s="179"/>
    </row>
    <row r="168" spans="1:6">
      <c r="A168" s="177">
        <v>145880000</v>
      </c>
      <c r="B168" s="177">
        <v>1458800</v>
      </c>
      <c r="C168" s="177">
        <v>311</v>
      </c>
      <c r="D168" s="179">
        <v>31</v>
      </c>
      <c r="E168" s="183"/>
      <c r="F168" s="179"/>
    </row>
    <row r="169" spans="1:6">
      <c r="A169" s="177">
        <v>148180100</v>
      </c>
      <c r="B169" s="177">
        <v>1481801</v>
      </c>
      <c r="C169" s="177">
        <v>507</v>
      </c>
      <c r="D169" s="179">
        <v>352</v>
      </c>
      <c r="E169" s="183"/>
      <c r="F169" s="179"/>
    </row>
    <row r="170" spans="1:6">
      <c r="A170" s="177">
        <v>153900000</v>
      </c>
      <c r="B170" s="177">
        <v>1483500</v>
      </c>
      <c r="C170" s="177">
        <v>313</v>
      </c>
      <c r="D170" s="179">
        <v>500</v>
      </c>
      <c r="E170" s="183"/>
      <c r="F170" s="179"/>
    </row>
    <row r="171" spans="1:6">
      <c r="A171" s="177">
        <v>436840000</v>
      </c>
      <c r="B171" s="177">
        <v>1483500</v>
      </c>
      <c r="C171" s="177">
        <v>313</v>
      </c>
      <c r="D171" s="179">
        <v>60</v>
      </c>
      <c r="E171" s="183"/>
      <c r="F171" s="179"/>
    </row>
    <row r="172" spans="1:6">
      <c r="A172" s="177">
        <v>970940000</v>
      </c>
      <c r="B172" s="177">
        <v>1483500</v>
      </c>
      <c r="C172" s="177">
        <v>323</v>
      </c>
      <c r="D172" s="179">
        <v>192</v>
      </c>
      <c r="E172" s="183"/>
      <c r="F172" s="179"/>
    </row>
    <row r="173" spans="1:6">
      <c r="A173" s="177">
        <v>970950000</v>
      </c>
      <c r="B173" s="177">
        <v>1483500</v>
      </c>
      <c r="C173" s="177">
        <v>323</v>
      </c>
      <c r="D173" s="179">
        <v>128</v>
      </c>
      <c r="E173" s="183"/>
      <c r="F173" s="179"/>
    </row>
    <row r="174" spans="1:6">
      <c r="A174" s="177">
        <v>970960000</v>
      </c>
      <c r="B174" s="177">
        <v>1483500</v>
      </c>
      <c r="C174" s="177">
        <v>313</v>
      </c>
      <c r="D174" s="179">
        <v>215</v>
      </c>
      <c r="E174" s="183"/>
      <c r="F174" s="179"/>
    </row>
    <row r="175" spans="1:6">
      <c r="A175" s="177">
        <v>970990000</v>
      </c>
      <c r="B175" s="177">
        <v>1483500</v>
      </c>
      <c r="C175" s="177">
        <v>313</v>
      </c>
      <c r="D175" s="179">
        <v>260</v>
      </c>
      <c r="E175" s="183"/>
      <c r="F175" s="179"/>
    </row>
    <row r="176" spans="1:6">
      <c r="A176" s="177">
        <v>970992000</v>
      </c>
      <c r="B176" s="177">
        <v>1483500</v>
      </c>
      <c r="C176" s="177">
        <v>323</v>
      </c>
      <c r="D176" s="179">
        <v>275</v>
      </c>
      <c r="E176" s="183"/>
      <c r="F176" s="179"/>
    </row>
    <row r="177" spans="1:6">
      <c r="A177" s="177">
        <v>970994000</v>
      </c>
      <c r="B177" s="177">
        <v>1483500</v>
      </c>
      <c r="C177" s="177">
        <v>323</v>
      </c>
      <c r="D177" s="179">
        <v>178</v>
      </c>
      <c r="E177" s="183"/>
      <c r="F177" s="179"/>
    </row>
    <row r="178" spans="1:6">
      <c r="A178" s="177">
        <v>970996000</v>
      </c>
      <c r="B178" s="177">
        <v>1483500</v>
      </c>
      <c r="C178" s="177">
        <v>323</v>
      </c>
      <c r="D178" s="179">
        <v>145</v>
      </c>
      <c r="E178" s="183"/>
      <c r="F178" s="179"/>
    </row>
    <row r="179" spans="1:6">
      <c r="A179" s="177">
        <v>994200000</v>
      </c>
      <c r="B179" s="177">
        <v>1483500</v>
      </c>
      <c r="C179" s="177">
        <v>323</v>
      </c>
      <c r="D179" s="179">
        <v>324</v>
      </c>
      <c r="E179" s="183"/>
      <c r="F179" s="179"/>
    </row>
    <row r="180" spans="1:6">
      <c r="A180" s="177">
        <v>148560000</v>
      </c>
      <c r="B180" s="177">
        <v>1485600</v>
      </c>
      <c r="C180" s="177">
        <v>311</v>
      </c>
      <c r="D180" s="179">
        <v>81</v>
      </c>
      <c r="E180" s="183"/>
      <c r="F180" s="179"/>
    </row>
    <row r="181" spans="1:6">
      <c r="A181" s="177">
        <v>148910000</v>
      </c>
      <c r="B181" s="177">
        <v>1489100</v>
      </c>
      <c r="C181" s="177">
        <v>311</v>
      </c>
      <c r="D181" s="179">
        <v>29</v>
      </c>
      <c r="E181" s="183"/>
      <c r="F181" s="179"/>
    </row>
    <row r="182" spans="1:6">
      <c r="A182" s="177">
        <v>150010000</v>
      </c>
      <c r="B182" s="177">
        <v>1500100</v>
      </c>
      <c r="C182" s="177">
        <v>311</v>
      </c>
      <c r="D182" s="179">
        <v>29</v>
      </c>
      <c r="E182" s="183"/>
      <c r="F182" s="179"/>
    </row>
    <row r="183" spans="1:6">
      <c r="A183" s="177">
        <v>150580000</v>
      </c>
      <c r="B183" s="177">
        <v>1505800</v>
      </c>
      <c r="C183" s="177">
        <v>311</v>
      </c>
      <c r="D183" s="179">
        <v>25</v>
      </c>
      <c r="E183" s="183"/>
      <c r="F183" s="179"/>
    </row>
    <row r="184" spans="1:6">
      <c r="A184" s="177">
        <v>150610000</v>
      </c>
      <c r="B184" s="177">
        <v>1506100</v>
      </c>
      <c r="C184" s="177">
        <v>311</v>
      </c>
      <c r="D184" s="179">
        <v>25</v>
      </c>
      <c r="E184" s="183"/>
      <c r="F184" s="179"/>
    </row>
    <row r="185" spans="1:6">
      <c r="A185" s="177">
        <v>150620000</v>
      </c>
      <c r="B185" s="177">
        <v>1506200</v>
      </c>
      <c r="C185" s="177">
        <v>311</v>
      </c>
      <c r="D185" s="179">
        <v>25</v>
      </c>
      <c r="E185" s="183"/>
      <c r="F185" s="179"/>
    </row>
    <row r="186" spans="1:6">
      <c r="A186" s="177">
        <v>150640000</v>
      </c>
      <c r="B186" s="177">
        <v>1506400</v>
      </c>
      <c r="C186" s="177">
        <v>311</v>
      </c>
      <c r="D186" s="179">
        <v>25</v>
      </c>
      <c r="E186" s="183"/>
      <c r="F186" s="179"/>
    </row>
    <row r="187" spans="1:6">
      <c r="A187" s="177">
        <v>151090000</v>
      </c>
      <c r="B187" s="177">
        <v>1510900</v>
      </c>
      <c r="C187" s="177">
        <v>401</v>
      </c>
      <c r="D187" s="179">
        <v>15</v>
      </c>
      <c r="E187" s="183"/>
      <c r="F187" s="179"/>
    </row>
    <row r="188" spans="1:6">
      <c r="A188" s="177">
        <v>151100000</v>
      </c>
      <c r="B188" s="177">
        <v>1511000</v>
      </c>
      <c r="C188" s="177">
        <v>311</v>
      </c>
      <c r="D188" s="179">
        <v>48</v>
      </c>
      <c r="E188" s="183"/>
      <c r="F188" s="179"/>
    </row>
    <row r="189" spans="1:6">
      <c r="A189" s="177">
        <v>152240000</v>
      </c>
      <c r="B189" s="177">
        <v>1522400</v>
      </c>
      <c r="C189" s="177">
        <v>311</v>
      </c>
      <c r="D189" s="179">
        <v>44</v>
      </c>
      <c r="E189" s="183"/>
      <c r="F189" s="179"/>
    </row>
    <row r="190" spans="1:6">
      <c r="A190" s="177">
        <v>152460000</v>
      </c>
      <c r="B190" s="177">
        <v>1524600</v>
      </c>
      <c r="C190" s="177">
        <v>311</v>
      </c>
      <c r="D190" s="179">
        <v>32</v>
      </c>
      <c r="E190" s="183"/>
      <c r="F190" s="179"/>
    </row>
    <row r="191" spans="1:6">
      <c r="A191" s="177">
        <v>152470000</v>
      </c>
      <c r="B191" s="177">
        <v>1524700</v>
      </c>
      <c r="C191" s="177">
        <v>311</v>
      </c>
      <c r="D191" s="179">
        <v>38</v>
      </c>
      <c r="E191" s="183"/>
      <c r="F191" s="179"/>
    </row>
    <row r="192" spans="1:6">
      <c r="A192" s="177">
        <v>152650000</v>
      </c>
      <c r="B192" s="177">
        <v>1526500</v>
      </c>
      <c r="C192" s="177">
        <v>311</v>
      </c>
      <c r="D192" s="179">
        <v>52</v>
      </c>
      <c r="E192" s="183"/>
      <c r="F192" s="179"/>
    </row>
    <row r="193" spans="1:6">
      <c r="A193" s="177">
        <v>152840000</v>
      </c>
      <c r="B193" s="177">
        <v>1528400</v>
      </c>
      <c r="C193" s="177">
        <v>401</v>
      </c>
      <c r="D193" s="179">
        <v>35</v>
      </c>
      <c r="E193" s="183"/>
      <c r="F193" s="179"/>
    </row>
    <row r="194" spans="1:6">
      <c r="A194" s="177">
        <v>152850000</v>
      </c>
      <c r="B194" s="177">
        <v>1528500</v>
      </c>
      <c r="C194" s="177">
        <v>311</v>
      </c>
      <c r="D194" s="179">
        <v>35</v>
      </c>
      <c r="E194" s="183"/>
      <c r="F194" s="179"/>
    </row>
    <row r="195" spans="1:6">
      <c r="A195" s="177">
        <v>101010173</v>
      </c>
      <c r="B195" s="177">
        <v>1539000</v>
      </c>
      <c r="C195" s="177">
        <v>313</v>
      </c>
      <c r="D195" s="179">
        <v>608</v>
      </c>
      <c r="E195" s="183"/>
      <c r="F195" s="179"/>
    </row>
    <row r="196" spans="1:6">
      <c r="A196" s="177">
        <v>101010174</v>
      </c>
      <c r="B196" s="177">
        <v>1539000</v>
      </c>
      <c r="C196" s="177">
        <v>810</v>
      </c>
      <c r="D196" s="179">
        <v>582</v>
      </c>
      <c r="E196" s="183"/>
      <c r="F196" s="179"/>
    </row>
    <row r="197" spans="1:6">
      <c r="A197" s="177">
        <v>659710000</v>
      </c>
      <c r="B197" s="177">
        <v>1539000</v>
      </c>
      <c r="C197" s="177">
        <v>313</v>
      </c>
      <c r="D197" s="179">
        <v>1320</v>
      </c>
      <c r="E197" s="183"/>
      <c r="F197" s="179"/>
    </row>
    <row r="198" spans="1:6">
      <c r="A198" s="177">
        <v>154080000</v>
      </c>
      <c r="B198" s="177">
        <v>1540800</v>
      </c>
      <c r="C198" s="177">
        <v>311</v>
      </c>
      <c r="D198" s="179">
        <v>31</v>
      </c>
      <c r="E198" s="183"/>
      <c r="F198" s="179"/>
    </row>
    <row r="199" spans="1:6">
      <c r="A199" s="177">
        <v>154160100</v>
      </c>
      <c r="B199" s="177">
        <v>1541601</v>
      </c>
      <c r="C199" s="177">
        <v>311</v>
      </c>
      <c r="D199" s="179">
        <v>470</v>
      </c>
      <c r="E199" s="183"/>
      <c r="F199" s="179"/>
    </row>
    <row r="200" spans="1:6">
      <c r="A200" s="177">
        <v>154200000</v>
      </c>
      <c r="B200" s="177">
        <v>1542000</v>
      </c>
      <c r="C200" s="177">
        <v>401</v>
      </c>
      <c r="D200" s="179">
        <v>280</v>
      </c>
      <c r="E200" s="183"/>
      <c r="F200" s="179"/>
    </row>
    <row r="201" spans="1:6">
      <c r="A201" s="177">
        <v>154210000</v>
      </c>
      <c r="B201" s="177">
        <v>1542100</v>
      </c>
      <c r="C201" s="177">
        <v>311</v>
      </c>
      <c r="D201" s="179">
        <v>30</v>
      </c>
      <c r="E201" s="183"/>
      <c r="F201" s="179"/>
    </row>
    <row r="202" spans="1:6">
      <c r="A202" s="177">
        <v>154560000</v>
      </c>
      <c r="B202" s="177">
        <v>1545600</v>
      </c>
      <c r="C202" s="177">
        <v>311</v>
      </c>
      <c r="D202" s="179">
        <v>21</v>
      </c>
      <c r="E202" s="183"/>
      <c r="F202" s="179"/>
    </row>
    <row r="203" spans="1:6">
      <c r="A203" s="177">
        <v>155830000</v>
      </c>
      <c r="B203" s="177">
        <v>1558300</v>
      </c>
      <c r="C203" s="177">
        <v>311</v>
      </c>
      <c r="D203" s="179">
        <v>26</v>
      </c>
      <c r="E203" s="183"/>
      <c r="F203" s="179"/>
    </row>
    <row r="204" spans="1:6">
      <c r="A204" s="177">
        <v>155870000</v>
      </c>
      <c r="B204" s="177">
        <v>1558700</v>
      </c>
      <c r="C204" s="177">
        <v>311</v>
      </c>
      <c r="D204" s="179">
        <v>26</v>
      </c>
      <c r="E204" s="183"/>
      <c r="F204" s="179"/>
    </row>
    <row r="205" spans="1:6">
      <c r="A205" s="177">
        <v>156210000</v>
      </c>
      <c r="B205" s="177">
        <v>1562100</v>
      </c>
      <c r="C205" s="177">
        <v>311</v>
      </c>
      <c r="D205" s="179">
        <v>22</v>
      </c>
      <c r="E205" s="183"/>
      <c r="F205" s="179"/>
    </row>
    <row r="206" spans="1:6">
      <c r="A206" s="177">
        <v>156210100</v>
      </c>
      <c r="B206" s="177">
        <v>1562100</v>
      </c>
      <c r="C206" s="177">
        <v>401</v>
      </c>
      <c r="D206" s="179">
        <v>28</v>
      </c>
      <c r="E206" s="183"/>
      <c r="F206" s="179"/>
    </row>
    <row r="207" spans="1:6">
      <c r="A207" s="177">
        <v>156300500</v>
      </c>
      <c r="B207" s="177">
        <v>1563005</v>
      </c>
      <c r="C207" s="177">
        <v>507</v>
      </c>
      <c r="D207" s="179">
        <v>99</v>
      </c>
      <c r="E207" s="183"/>
      <c r="F207" s="179"/>
    </row>
    <row r="208" spans="1:6">
      <c r="A208" s="177">
        <v>156300700</v>
      </c>
      <c r="B208" s="177">
        <v>1563007</v>
      </c>
      <c r="C208" s="177">
        <v>522</v>
      </c>
      <c r="D208" s="179">
        <v>365</v>
      </c>
      <c r="E208" s="183"/>
      <c r="F208" s="179"/>
    </row>
    <row r="209" spans="1:6">
      <c r="A209" s="177">
        <v>703690000</v>
      </c>
      <c r="B209" s="177">
        <v>1563009</v>
      </c>
      <c r="C209" s="177">
        <v>520</v>
      </c>
      <c r="D209" s="179">
        <v>100</v>
      </c>
      <c r="E209" s="183"/>
      <c r="F209" s="179"/>
    </row>
    <row r="210" spans="1:6">
      <c r="A210" s="177">
        <v>156301000</v>
      </c>
      <c r="B210" s="177">
        <v>1563010</v>
      </c>
      <c r="C210" s="177">
        <v>520</v>
      </c>
      <c r="D210" s="179">
        <v>120</v>
      </c>
      <c r="E210" s="183"/>
      <c r="F210" s="179"/>
    </row>
    <row r="211" spans="1:6">
      <c r="A211" s="177">
        <v>156300600</v>
      </c>
      <c r="B211" s="177">
        <v>1563011</v>
      </c>
      <c r="C211" s="177">
        <v>520</v>
      </c>
      <c r="D211" s="179">
        <v>186</v>
      </c>
      <c r="E211" s="183"/>
      <c r="F211" s="179"/>
    </row>
    <row r="212" spans="1:6">
      <c r="A212" s="177">
        <v>156300900</v>
      </c>
      <c r="B212" s="177">
        <v>1563011</v>
      </c>
      <c r="C212" s="177">
        <v>520</v>
      </c>
      <c r="D212" s="179">
        <v>900</v>
      </c>
      <c r="E212" s="183"/>
      <c r="F212" s="179"/>
    </row>
    <row r="213" spans="1:6">
      <c r="A213" s="177">
        <v>156301100</v>
      </c>
      <c r="B213" s="177">
        <v>1563011</v>
      </c>
      <c r="C213" s="177">
        <v>311</v>
      </c>
      <c r="D213" s="179">
        <v>544</v>
      </c>
      <c r="E213" s="183"/>
      <c r="F213" s="179"/>
    </row>
    <row r="214" spans="1:6">
      <c r="A214" s="177">
        <v>209450000</v>
      </c>
      <c r="B214" s="177">
        <v>1563011</v>
      </c>
      <c r="C214" s="177">
        <v>520</v>
      </c>
      <c r="D214" s="179">
        <v>410</v>
      </c>
      <c r="E214" s="183"/>
      <c r="F214" s="179"/>
    </row>
    <row r="215" spans="1:6">
      <c r="A215" s="177">
        <v>451170000</v>
      </c>
      <c r="B215" s="177">
        <v>1563011</v>
      </c>
      <c r="C215" s="177">
        <v>520</v>
      </c>
      <c r="D215" s="179">
        <v>100</v>
      </c>
      <c r="E215" s="183"/>
      <c r="F215" s="179"/>
    </row>
    <row r="216" spans="1:6">
      <c r="A216" s="177">
        <v>156650000</v>
      </c>
      <c r="B216" s="177">
        <v>1566500</v>
      </c>
      <c r="C216" s="177">
        <v>401</v>
      </c>
      <c r="D216" s="179">
        <v>35</v>
      </c>
      <c r="E216" s="183"/>
      <c r="F216" s="179"/>
    </row>
    <row r="217" spans="1:6">
      <c r="A217" s="177">
        <v>156730000</v>
      </c>
      <c r="B217" s="177">
        <v>1567300</v>
      </c>
      <c r="C217" s="177">
        <v>401</v>
      </c>
      <c r="D217" s="179">
        <v>35</v>
      </c>
      <c r="E217" s="183"/>
      <c r="F217" s="179"/>
    </row>
    <row r="218" spans="1:6">
      <c r="A218" s="177">
        <v>157010000</v>
      </c>
      <c r="B218" s="177">
        <v>1570100</v>
      </c>
      <c r="C218" s="177">
        <v>312</v>
      </c>
      <c r="D218" s="179">
        <v>34</v>
      </c>
      <c r="E218" s="183"/>
      <c r="F218" s="179"/>
    </row>
    <row r="219" spans="1:6">
      <c r="A219" s="177">
        <v>157330000</v>
      </c>
      <c r="B219" s="177">
        <v>1573300</v>
      </c>
      <c r="C219" s="177">
        <v>311</v>
      </c>
      <c r="D219" s="179">
        <v>99</v>
      </c>
      <c r="E219" s="183"/>
      <c r="F219" s="179"/>
    </row>
    <row r="220" spans="1:6">
      <c r="A220" s="177">
        <v>373190000</v>
      </c>
      <c r="B220" s="177">
        <v>1573300</v>
      </c>
      <c r="C220" s="177">
        <v>311</v>
      </c>
      <c r="D220" s="179">
        <v>71</v>
      </c>
      <c r="E220" s="183"/>
      <c r="F220" s="179"/>
    </row>
    <row r="221" spans="1:6">
      <c r="A221" s="177">
        <v>157430000</v>
      </c>
      <c r="B221" s="177">
        <v>1574300</v>
      </c>
      <c r="C221" s="177">
        <v>311</v>
      </c>
      <c r="D221" s="179">
        <v>49</v>
      </c>
      <c r="E221" s="183"/>
      <c r="F221" s="179"/>
    </row>
    <row r="222" spans="1:6">
      <c r="A222" s="177">
        <v>157470000</v>
      </c>
      <c r="B222" s="177">
        <v>1574700</v>
      </c>
      <c r="C222" s="177">
        <v>507</v>
      </c>
      <c r="D222" s="179">
        <v>90</v>
      </c>
      <c r="E222" s="183"/>
      <c r="F222" s="179"/>
    </row>
    <row r="223" spans="1:6">
      <c r="A223" s="177">
        <v>157660000</v>
      </c>
      <c r="B223" s="177">
        <v>1576600</v>
      </c>
      <c r="C223" s="177">
        <v>311</v>
      </c>
      <c r="D223" s="179">
        <v>51</v>
      </c>
      <c r="E223" s="183"/>
      <c r="F223" s="179"/>
    </row>
    <row r="224" spans="1:6">
      <c r="A224" s="177">
        <v>157760000</v>
      </c>
      <c r="B224" s="177">
        <v>1577600</v>
      </c>
      <c r="C224" s="177">
        <v>311</v>
      </c>
      <c r="D224" s="179">
        <v>28</v>
      </c>
      <c r="E224" s="183"/>
      <c r="F224" s="179"/>
    </row>
    <row r="225" spans="1:6">
      <c r="A225" s="177">
        <v>157780000</v>
      </c>
      <c r="B225" s="177">
        <v>1577800</v>
      </c>
      <c r="C225" s="177">
        <v>311</v>
      </c>
      <c r="D225" s="179">
        <v>81</v>
      </c>
      <c r="E225" s="183"/>
      <c r="F225" s="179"/>
    </row>
    <row r="226" spans="1:6">
      <c r="A226" s="177">
        <v>363220000</v>
      </c>
      <c r="B226" s="177">
        <v>1648997</v>
      </c>
      <c r="C226" s="177">
        <v>311</v>
      </c>
      <c r="D226" s="179">
        <v>89</v>
      </c>
      <c r="E226" s="183"/>
      <c r="F226" s="179"/>
    </row>
    <row r="227" spans="1:6">
      <c r="A227" s="177">
        <v>534020001</v>
      </c>
      <c r="B227" s="177">
        <v>1660628</v>
      </c>
      <c r="C227" s="177">
        <v>311</v>
      </c>
      <c r="D227" s="179">
        <v>40</v>
      </c>
      <c r="E227" s="183"/>
      <c r="F227" s="179"/>
    </row>
    <row r="228" spans="1:6">
      <c r="A228" s="177">
        <v>170380000</v>
      </c>
      <c r="B228" s="177">
        <v>1703800</v>
      </c>
      <c r="C228" s="177">
        <v>315</v>
      </c>
      <c r="D228" s="179">
        <v>10</v>
      </c>
      <c r="E228" s="183"/>
      <c r="F228" s="179"/>
    </row>
    <row r="229" spans="1:6">
      <c r="A229" s="177">
        <v>170440000</v>
      </c>
      <c r="B229" s="177">
        <v>1704400</v>
      </c>
      <c r="C229" s="177">
        <v>415</v>
      </c>
      <c r="D229" s="179">
        <v>10</v>
      </c>
      <c r="E229" s="183"/>
      <c r="F229" s="179"/>
    </row>
    <row r="230" spans="1:6">
      <c r="A230" s="177">
        <v>170520000</v>
      </c>
      <c r="B230" s="177">
        <v>1705200</v>
      </c>
      <c r="C230" s="177">
        <v>315</v>
      </c>
      <c r="D230" s="179">
        <v>10</v>
      </c>
      <c r="E230" s="183"/>
      <c r="F230" s="179"/>
    </row>
    <row r="231" spans="1:6">
      <c r="A231" s="177">
        <v>170550000</v>
      </c>
      <c r="B231" s="177">
        <v>1705500</v>
      </c>
      <c r="C231" s="177">
        <v>401</v>
      </c>
      <c r="D231" s="179">
        <v>10</v>
      </c>
      <c r="E231" s="183"/>
      <c r="F231" s="179"/>
    </row>
    <row r="232" spans="1:6">
      <c r="A232" s="177">
        <v>170850000</v>
      </c>
      <c r="B232" s="177">
        <v>1708500</v>
      </c>
      <c r="C232" s="177">
        <v>311</v>
      </c>
      <c r="D232" s="179">
        <v>10</v>
      </c>
      <c r="E232" s="183"/>
      <c r="F232" s="179"/>
    </row>
    <row r="233" spans="1:6">
      <c r="A233" s="177">
        <v>171180000</v>
      </c>
      <c r="B233" s="177">
        <v>1711800</v>
      </c>
      <c r="C233" s="177">
        <v>315</v>
      </c>
      <c r="D233" s="179">
        <v>75</v>
      </c>
      <c r="E233" s="183"/>
      <c r="F233" s="179"/>
    </row>
    <row r="234" spans="1:6">
      <c r="A234" s="177">
        <v>171210000</v>
      </c>
      <c r="B234" s="177">
        <v>1712100</v>
      </c>
      <c r="C234" s="177">
        <v>401</v>
      </c>
      <c r="D234" s="179">
        <v>21</v>
      </c>
      <c r="E234" s="183"/>
      <c r="F234" s="179"/>
    </row>
    <row r="235" spans="1:6">
      <c r="A235" s="177">
        <v>171280100</v>
      </c>
      <c r="B235" s="177">
        <v>1712801</v>
      </c>
      <c r="C235" s="177">
        <v>311</v>
      </c>
      <c r="D235" s="179">
        <v>45</v>
      </c>
      <c r="E235" s="183"/>
      <c r="F235" s="179"/>
    </row>
    <row r="236" spans="1:6">
      <c r="A236" s="177">
        <v>171340000</v>
      </c>
      <c r="B236" s="177">
        <v>1713400</v>
      </c>
      <c r="C236" s="177">
        <v>312</v>
      </c>
      <c r="D236" s="179">
        <v>20</v>
      </c>
      <c r="E236" s="183"/>
      <c r="F236" s="179"/>
    </row>
    <row r="237" spans="1:6">
      <c r="A237" s="177">
        <v>171390000</v>
      </c>
      <c r="B237" s="177">
        <v>1713900</v>
      </c>
      <c r="C237" s="177">
        <v>311</v>
      </c>
      <c r="D237" s="179">
        <v>28</v>
      </c>
      <c r="E237" s="183"/>
      <c r="F237" s="179"/>
    </row>
    <row r="238" spans="1:6">
      <c r="A238" s="177">
        <v>171580000</v>
      </c>
      <c r="B238" s="177">
        <v>1715800</v>
      </c>
      <c r="C238" s="177">
        <v>401</v>
      </c>
      <c r="D238" s="179">
        <v>10</v>
      </c>
      <c r="E238" s="183"/>
      <c r="F238" s="179"/>
    </row>
    <row r="239" spans="1:6">
      <c r="A239" s="177">
        <v>152440000</v>
      </c>
      <c r="B239" s="177">
        <v>1717214</v>
      </c>
      <c r="C239" s="177">
        <v>312</v>
      </c>
      <c r="D239" s="179">
        <v>50</v>
      </c>
      <c r="E239" s="183"/>
      <c r="F239" s="179"/>
    </row>
    <row r="240" spans="1:6">
      <c r="A240" s="177">
        <v>155900100</v>
      </c>
      <c r="B240" s="177">
        <v>1717214</v>
      </c>
      <c r="C240" s="177">
        <v>311</v>
      </c>
      <c r="D240" s="179">
        <v>117</v>
      </c>
      <c r="E240" s="183"/>
      <c r="F240" s="179"/>
    </row>
    <row r="241" spans="1:6">
      <c r="A241" s="177">
        <v>172480000</v>
      </c>
      <c r="B241" s="177">
        <v>1724800</v>
      </c>
      <c r="C241" s="177">
        <v>507</v>
      </c>
      <c r="D241" s="179">
        <v>55</v>
      </c>
      <c r="E241" s="183"/>
      <c r="F241" s="179"/>
    </row>
    <row r="242" spans="1:6">
      <c r="A242" s="177">
        <v>647910000</v>
      </c>
      <c r="B242" s="177">
        <v>1757822</v>
      </c>
      <c r="C242" s="177">
        <v>390</v>
      </c>
      <c r="D242" s="179">
        <v>184</v>
      </c>
      <c r="E242" s="183"/>
      <c r="F242" s="179"/>
    </row>
    <row r="243" spans="1:6">
      <c r="A243" s="177">
        <v>177450100</v>
      </c>
      <c r="B243" s="177">
        <v>1774501</v>
      </c>
      <c r="C243" s="177">
        <v>401</v>
      </c>
      <c r="D243" s="179">
        <v>40</v>
      </c>
      <c r="E243" s="183"/>
      <c r="F243" s="179"/>
    </row>
    <row r="244" spans="1:6">
      <c r="A244" s="177">
        <v>178840000</v>
      </c>
      <c r="B244" s="177">
        <v>1788400</v>
      </c>
      <c r="C244" s="177">
        <v>311</v>
      </c>
      <c r="D244" s="179">
        <v>32</v>
      </c>
      <c r="E244" s="183"/>
      <c r="F244" s="179"/>
    </row>
    <row r="245" spans="1:6">
      <c r="A245" s="177">
        <v>178850100</v>
      </c>
      <c r="B245" s="177">
        <v>1788501</v>
      </c>
      <c r="C245" s="177">
        <v>801</v>
      </c>
      <c r="D245" s="179">
        <v>632</v>
      </c>
      <c r="E245" s="183"/>
      <c r="F245" s="179"/>
    </row>
    <row r="246" spans="1:6">
      <c r="A246" s="177">
        <v>597030000</v>
      </c>
      <c r="B246" s="177">
        <v>1790112</v>
      </c>
      <c r="C246" s="177">
        <v>809</v>
      </c>
      <c r="D246" s="179">
        <v>4</v>
      </c>
      <c r="E246" s="183"/>
      <c r="F246" s="179"/>
    </row>
    <row r="247" spans="1:6">
      <c r="A247" s="177">
        <v>179290100</v>
      </c>
      <c r="B247" s="177">
        <v>1792700</v>
      </c>
      <c r="C247" s="177">
        <v>311</v>
      </c>
      <c r="D247" s="179">
        <v>12</v>
      </c>
      <c r="E247" s="183"/>
      <c r="F247" s="179"/>
    </row>
    <row r="248" spans="1:6">
      <c r="A248" s="177">
        <v>179600000</v>
      </c>
      <c r="B248" s="177">
        <v>1796000</v>
      </c>
      <c r="C248" s="177">
        <v>311</v>
      </c>
      <c r="D248" s="179">
        <v>76</v>
      </c>
      <c r="E248" s="183"/>
      <c r="F248" s="179"/>
    </row>
    <row r="249" spans="1:6">
      <c r="A249" s="177">
        <v>179910000</v>
      </c>
      <c r="B249" s="177">
        <v>1799100</v>
      </c>
      <c r="C249" s="177">
        <v>311</v>
      </c>
      <c r="D249" s="179">
        <v>242</v>
      </c>
      <c r="E249" s="183"/>
      <c r="F249" s="179"/>
    </row>
    <row r="250" spans="1:6">
      <c r="A250" s="177">
        <v>180920000</v>
      </c>
      <c r="B250" s="177">
        <v>1809200</v>
      </c>
      <c r="C250" s="177">
        <v>311</v>
      </c>
      <c r="D250" s="179">
        <v>348</v>
      </c>
      <c r="E250" s="183"/>
      <c r="F250" s="179"/>
    </row>
    <row r="251" spans="1:6">
      <c r="A251" s="177">
        <v>181810000</v>
      </c>
      <c r="B251" s="177">
        <v>1818100</v>
      </c>
      <c r="C251" s="177">
        <v>311</v>
      </c>
      <c r="D251" s="179">
        <v>15</v>
      </c>
      <c r="E251" s="183"/>
      <c r="F251" s="179"/>
    </row>
    <row r="252" spans="1:6">
      <c r="A252" s="177">
        <v>181850000</v>
      </c>
      <c r="B252" s="177">
        <v>1818500</v>
      </c>
      <c r="C252" s="177">
        <v>311</v>
      </c>
      <c r="D252" s="179">
        <v>43</v>
      </c>
      <c r="E252" s="183"/>
      <c r="F252" s="179"/>
    </row>
    <row r="253" spans="1:6">
      <c r="A253" s="177">
        <v>185040200</v>
      </c>
      <c r="B253" s="177">
        <v>1850402</v>
      </c>
      <c r="C253" s="177">
        <v>401</v>
      </c>
      <c r="D253" s="179">
        <v>97</v>
      </c>
      <c r="E253" s="183"/>
      <c r="F253" s="179"/>
    </row>
    <row r="254" spans="1:6">
      <c r="A254" s="177">
        <v>863500000</v>
      </c>
      <c r="B254" s="177">
        <v>1862300</v>
      </c>
      <c r="C254" s="177">
        <v>801</v>
      </c>
      <c r="D254" s="179">
        <v>765</v>
      </c>
      <c r="E254" s="183"/>
      <c r="F254" s="179"/>
    </row>
    <row r="255" spans="1:6">
      <c r="A255" s="177">
        <v>186340000</v>
      </c>
      <c r="B255" s="177">
        <v>1863400</v>
      </c>
      <c r="C255" s="177">
        <v>311</v>
      </c>
      <c r="D255" s="179">
        <v>41</v>
      </c>
      <c r="E255" s="183"/>
      <c r="F255" s="179"/>
    </row>
    <row r="256" spans="1:6">
      <c r="A256" s="177">
        <v>186340100</v>
      </c>
      <c r="B256" s="177">
        <v>1863400</v>
      </c>
      <c r="C256" s="177">
        <v>401</v>
      </c>
      <c r="D256" s="179">
        <v>19</v>
      </c>
      <c r="E256" s="183"/>
      <c r="F256" s="179"/>
    </row>
    <row r="257" spans="1:6">
      <c r="A257" s="177">
        <v>186810000</v>
      </c>
      <c r="B257" s="177">
        <v>1868100</v>
      </c>
      <c r="C257" s="177">
        <v>311</v>
      </c>
      <c r="D257" s="179">
        <v>65</v>
      </c>
      <c r="E257" s="183"/>
      <c r="F257" s="179"/>
    </row>
    <row r="258" spans="1:6">
      <c r="A258" s="177">
        <v>187480100</v>
      </c>
      <c r="B258" s="177">
        <v>1874801</v>
      </c>
      <c r="C258" s="177">
        <v>507</v>
      </c>
      <c r="D258" s="179">
        <v>23</v>
      </c>
      <c r="E258" s="183"/>
      <c r="F258" s="179"/>
    </row>
    <row r="259" spans="1:6">
      <c r="A259" s="177">
        <v>187810000</v>
      </c>
      <c r="B259" s="177">
        <v>1878100</v>
      </c>
      <c r="C259" s="177">
        <v>522</v>
      </c>
      <c r="D259" s="179">
        <v>350</v>
      </c>
      <c r="E259" s="183"/>
      <c r="F259" s="179"/>
    </row>
    <row r="260" spans="1:6">
      <c r="A260" s="177">
        <v>188210000</v>
      </c>
      <c r="B260" s="177">
        <v>1882100</v>
      </c>
      <c r="C260" s="177">
        <v>401</v>
      </c>
      <c r="D260" s="179">
        <v>36</v>
      </c>
      <c r="E260" s="183"/>
      <c r="F260" s="179"/>
    </row>
    <row r="261" spans="1:6">
      <c r="A261" s="177">
        <v>188220000</v>
      </c>
      <c r="B261" s="177">
        <v>1882200</v>
      </c>
      <c r="C261" s="177">
        <v>311</v>
      </c>
      <c r="D261" s="179">
        <v>21</v>
      </c>
      <c r="E261" s="183"/>
      <c r="F261" s="179"/>
    </row>
    <row r="262" spans="1:6">
      <c r="A262" s="177">
        <v>188410000</v>
      </c>
      <c r="B262" s="177">
        <v>1884100</v>
      </c>
      <c r="C262" s="177">
        <v>311</v>
      </c>
      <c r="D262" s="179">
        <v>33</v>
      </c>
      <c r="E262" s="183"/>
      <c r="F262" s="179"/>
    </row>
    <row r="263" spans="1:6">
      <c r="A263" s="177">
        <v>868230000</v>
      </c>
      <c r="B263" s="177">
        <v>1904501</v>
      </c>
      <c r="C263" s="177">
        <v>313</v>
      </c>
      <c r="D263" s="179">
        <v>5052</v>
      </c>
      <c r="E263" s="183"/>
      <c r="F263" s="179"/>
    </row>
    <row r="264" spans="1:6">
      <c r="A264" s="177">
        <v>868240000</v>
      </c>
      <c r="B264" s="177">
        <v>1904501</v>
      </c>
      <c r="C264" s="177">
        <v>810</v>
      </c>
      <c r="D264" s="179">
        <v>4115</v>
      </c>
      <c r="E264" s="183"/>
      <c r="F264" s="179"/>
    </row>
    <row r="265" spans="1:6">
      <c r="A265" s="177">
        <v>804210000</v>
      </c>
      <c r="B265" s="177">
        <v>1933100</v>
      </c>
      <c r="C265" s="177">
        <v>313</v>
      </c>
      <c r="D265" s="179">
        <v>840</v>
      </c>
      <c r="E265" s="183"/>
      <c r="F265" s="179"/>
    </row>
    <row r="266" spans="1:6">
      <c r="A266" s="177">
        <v>155510100</v>
      </c>
      <c r="B266" s="177">
        <v>1960426</v>
      </c>
      <c r="C266" s="177">
        <v>401</v>
      </c>
      <c r="D266" s="179">
        <v>95</v>
      </c>
      <c r="E266" s="183"/>
      <c r="F266" s="179"/>
    </row>
    <row r="267" spans="1:6">
      <c r="A267" s="177">
        <v>196830000</v>
      </c>
      <c r="B267" s="177">
        <v>1968300</v>
      </c>
      <c r="C267" s="177">
        <v>311</v>
      </c>
      <c r="D267" s="179">
        <v>55</v>
      </c>
      <c r="E267" s="183"/>
      <c r="F267" s="179"/>
    </row>
    <row r="268" spans="1:6">
      <c r="A268" s="177">
        <v>196970000</v>
      </c>
      <c r="B268" s="177">
        <v>1969700</v>
      </c>
      <c r="C268" s="177">
        <v>315</v>
      </c>
      <c r="D268" s="179">
        <v>2185</v>
      </c>
      <c r="E268" s="183"/>
      <c r="F268" s="179"/>
    </row>
    <row r="269" spans="1:6">
      <c r="A269" s="177">
        <v>198490000</v>
      </c>
      <c r="B269" s="177">
        <v>1984900</v>
      </c>
      <c r="C269" s="177">
        <v>904</v>
      </c>
      <c r="D269" s="179">
        <v>8630</v>
      </c>
      <c r="E269" s="183"/>
      <c r="F269" s="179"/>
    </row>
    <row r="270" spans="1:6">
      <c r="A270" s="177">
        <v>643320000</v>
      </c>
      <c r="B270" s="177">
        <v>1996651</v>
      </c>
      <c r="C270" s="177">
        <v>311</v>
      </c>
      <c r="D270" s="179">
        <v>35</v>
      </c>
      <c r="E270" s="183"/>
      <c r="F270" s="179"/>
    </row>
    <row r="271" spans="1:6">
      <c r="A271" s="177">
        <v>207230000</v>
      </c>
      <c r="B271" s="177">
        <v>2072300</v>
      </c>
      <c r="C271" s="177">
        <v>507</v>
      </c>
      <c r="D271" s="179">
        <v>65</v>
      </c>
      <c r="E271" s="183"/>
      <c r="F271" s="179"/>
    </row>
    <row r="272" spans="1:6">
      <c r="A272" s="177">
        <v>208150000</v>
      </c>
      <c r="B272" s="177">
        <v>2072300</v>
      </c>
      <c r="C272" s="177">
        <v>507</v>
      </c>
      <c r="D272" s="179">
        <v>43</v>
      </c>
      <c r="E272" s="183"/>
      <c r="F272" s="179"/>
    </row>
    <row r="273" spans="1:6">
      <c r="A273" s="177">
        <v>207240000</v>
      </c>
      <c r="B273" s="177">
        <v>2072400</v>
      </c>
      <c r="C273" s="177">
        <v>507</v>
      </c>
      <c r="D273" s="179">
        <v>162</v>
      </c>
      <c r="E273" s="183"/>
      <c r="F273" s="179"/>
    </row>
    <row r="274" spans="1:6">
      <c r="A274" s="177">
        <v>207240100</v>
      </c>
      <c r="B274" s="177">
        <v>2072400</v>
      </c>
      <c r="C274" s="177">
        <v>507</v>
      </c>
      <c r="D274" s="179">
        <v>262</v>
      </c>
      <c r="E274" s="183"/>
      <c r="F274" s="179"/>
    </row>
    <row r="275" spans="1:6">
      <c r="A275" s="177">
        <v>208490000</v>
      </c>
      <c r="B275" s="177">
        <v>2084900</v>
      </c>
      <c r="C275" s="177">
        <v>507</v>
      </c>
      <c r="D275" s="179">
        <v>70</v>
      </c>
      <c r="E275" s="183"/>
      <c r="F275" s="179"/>
    </row>
    <row r="276" spans="1:6">
      <c r="A276" s="177">
        <v>157640000</v>
      </c>
      <c r="B276" s="177">
        <v>2086015</v>
      </c>
      <c r="C276" s="177">
        <v>401</v>
      </c>
      <c r="D276" s="179">
        <v>47</v>
      </c>
      <c r="E276" s="183"/>
      <c r="F276" s="179"/>
    </row>
    <row r="277" spans="1:6">
      <c r="A277" s="177">
        <v>212950000</v>
      </c>
      <c r="B277" s="177">
        <v>2129500</v>
      </c>
      <c r="C277" s="177">
        <v>315</v>
      </c>
      <c r="D277" s="179">
        <v>24</v>
      </c>
      <c r="E277" s="183"/>
      <c r="F277" s="179"/>
    </row>
    <row r="278" spans="1:6">
      <c r="A278" s="177">
        <v>213520000</v>
      </c>
      <c r="B278" s="177">
        <v>2135200</v>
      </c>
      <c r="C278" s="177">
        <v>507</v>
      </c>
      <c r="D278" s="179">
        <v>175</v>
      </c>
      <c r="E278" s="183"/>
      <c r="F278" s="179"/>
    </row>
    <row r="279" spans="1:6">
      <c r="A279" s="177">
        <v>216110000</v>
      </c>
      <c r="B279" s="177">
        <v>2161100</v>
      </c>
      <c r="C279" s="177">
        <v>507</v>
      </c>
      <c r="D279" s="179">
        <v>48</v>
      </c>
      <c r="E279" s="183"/>
      <c r="F279" s="179"/>
    </row>
    <row r="280" spans="1:6">
      <c r="A280" s="177">
        <v>294450200</v>
      </c>
      <c r="B280" s="177">
        <v>2254265</v>
      </c>
      <c r="C280" s="177">
        <v>311</v>
      </c>
      <c r="D280" s="179">
        <v>9</v>
      </c>
      <c r="E280" s="183"/>
      <c r="F280" s="179"/>
    </row>
    <row r="281" spans="1:6">
      <c r="A281" s="177">
        <v>213460000</v>
      </c>
      <c r="B281" s="177">
        <v>2269520</v>
      </c>
      <c r="C281" s="177">
        <v>882</v>
      </c>
      <c r="D281" s="179">
        <v>210</v>
      </c>
      <c r="E281" s="183"/>
      <c r="F281" s="179"/>
    </row>
    <row r="282" spans="1:6">
      <c r="A282" s="177">
        <v>213480000</v>
      </c>
      <c r="B282" s="177">
        <v>2269520</v>
      </c>
      <c r="C282" s="177">
        <v>882</v>
      </c>
      <c r="D282" s="179">
        <v>345</v>
      </c>
      <c r="E282" s="183"/>
      <c r="F282" s="179"/>
    </row>
    <row r="283" spans="1:6">
      <c r="A283" s="177">
        <v>400189400</v>
      </c>
      <c r="B283" s="177">
        <v>2274001</v>
      </c>
      <c r="C283" s="177">
        <v>661</v>
      </c>
      <c r="D283" s="179">
        <v>500</v>
      </c>
      <c r="E283" s="183"/>
      <c r="F283" s="179"/>
    </row>
    <row r="284" spans="1:6">
      <c r="A284" s="177">
        <v>670270000</v>
      </c>
      <c r="B284" s="177">
        <v>2281038</v>
      </c>
      <c r="C284" s="177">
        <v>390</v>
      </c>
      <c r="D284" s="179">
        <v>483</v>
      </c>
      <c r="E284" s="183"/>
      <c r="F284" s="179"/>
    </row>
    <row r="285" spans="1:6">
      <c r="A285" s="177">
        <v>230180000</v>
      </c>
      <c r="B285" s="177">
        <v>2301800</v>
      </c>
      <c r="C285" s="177">
        <v>311</v>
      </c>
      <c r="D285" s="179">
        <v>3</v>
      </c>
      <c r="E285" s="183"/>
      <c r="F285" s="179"/>
    </row>
    <row r="286" spans="1:6">
      <c r="A286" s="177">
        <v>230502200</v>
      </c>
      <c r="B286" s="177">
        <v>2305022</v>
      </c>
      <c r="C286" s="177">
        <v>311</v>
      </c>
      <c r="D286" s="179">
        <v>63</v>
      </c>
      <c r="E286" s="183"/>
      <c r="F286" s="179"/>
    </row>
    <row r="287" spans="1:6">
      <c r="A287" s="177">
        <v>230591700</v>
      </c>
      <c r="B287" s="177">
        <v>2305917</v>
      </c>
      <c r="C287" s="177">
        <v>507</v>
      </c>
      <c r="D287" s="179">
        <v>144</v>
      </c>
      <c r="E287" s="183"/>
      <c r="F287" s="179"/>
    </row>
    <row r="288" spans="1:6">
      <c r="A288" s="177">
        <v>230596100</v>
      </c>
      <c r="B288" s="177">
        <v>2305961</v>
      </c>
      <c r="C288" s="177">
        <v>507</v>
      </c>
      <c r="D288" s="179">
        <v>35</v>
      </c>
      <c r="E288" s="183"/>
      <c r="F288" s="179"/>
    </row>
    <row r="289" spans="1:6">
      <c r="A289" s="177">
        <v>230596600</v>
      </c>
      <c r="B289" s="177">
        <v>2305966</v>
      </c>
      <c r="C289" s="177">
        <v>507</v>
      </c>
      <c r="D289" s="179">
        <v>121</v>
      </c>
      <c r="E289" s="183"/>
      <c r="F289" s="179"/>
    </row>
    <row r="290" spans="1:6">
      <c r="A290" s="177">
        <v>230609200</v>
      </c>
      <c r="B290" s="177">
        <v>2306092</v>
      </c>
      <c r="C290" s="177">
        <v>507</v>
      </c>
      <c r="D290" s="179">
        <v>110</v>
      </c>
      <c r="E290" s="183"/>
      <c r="F290" s="179"/>
    </row>
    <row r="291" spans="1:6">
      <c r="A291" s="177">
        <v>230611000</v>
      </c>
      <c r="B291" s="177">
        <v>2306110</v>
      </c>
      <c r="C291" s="177">
        <v>507</v>
      </c>
      <c r="D291" s="179">
        <v>100</v>
      </c>
      <c r="E291" s="183"/>
      <c r="F291" s="179"/>
    </row>
    <row r="292" spans="1:6">
      <c r="A292" s="177">
        <v>230617900</v>
      </c>
      <c r="B292" s="177">
        <v>2306179</v>
      </c>
      <c r="C292" s="177">
        <v>507</v>
      </c>
      <c r="D292" s="179">
        <v>240</v>
      </c>
      <c r="E292" s="183"/>
      <c r="F292" s="179"/>
    </row>
    <row r="293" spans="1:6">
      <c r="A293" s="177">
        <v>230637400</v>
      </c>
      <c r="B293" s="177">
        <v>2306374</v>
      </c>
      <c r="C293" s="177">
        <v>520</v>
      </c>
      <c r="D293" s="179">
        <v>99</v>
      </c>
      <c r="E293" s="183"/>
      <c r="F293" s="179"/>
    </row>
    <row r="294" spans="1:6">
      <c r="A294" s="177">
        <v>230651400</v>
      </c>
      <c r="B294" s="177">
        <v>2306514</v>
      </c>
      <c r="C294" s="177">
        <v>508</v>
      </c>
      <c r="D294" s="179">
        <v>99</v>
      </c>
      <c r="E294" s="183"/>
      <c r="F294" s="179"/>
    </row>
    <row r="295" spans="1:6">
      <c r="A295" s="177">
        <v>230654900</v>
      </c>
      <c r="B295" s="177">
        <v>2306549</v>
      </c>
      <c r="C295" s="177">
        <v>507</v>
      </c>
      <c r="D295" s="179">
        <v>620</v>
      </c>
      <c r="E295" s="183"/>
      <c r="F295" s="179"/>
    </row>
    <row r="296" spans="1:6">
      <c r="A296" s="177">
        <v>230663800</v>
      </c>
      <c r="B296" s="177">
        <v>2306638</v>
      </c>
      <c r="C296" s="177">
        <v>311</v>
      </c>
      <c r="D296" s="179">
        <v>30</v>
      </c>
      <c r="E296" s="183"/>
      <c r="F296" s="179"/>
    </row>
    <row r="297" spans="1:6">
      <c r="A297" s="177">
        <v>230668300</v>
      </c>
      <c r="B297" s="177">
        <v>2306683</v>
      </c>
      <c r="C297" s="177">
        <v>401</v>
      </c>
      <c r="D297" s="179">
        <v>26</v>
      </c>
      <c r="E297" s="183"/>
      <c r="F297" s="179"/>
    </row>
    <row r="298" spans="1:6">
      <c r="A298" s="177">
        <v>230700300</v>
      </c>
      <c r="B298" s="177">
        <v>2307003</v>
      </c>
      <c r="C298" s="177">
        <v>401</v>
      </c>
      <c r="D298" s="179">
        <v>102</v>
      </c>
      <c r="E298" s="183"/>
      <c r="F298" s="179"/>
    </row>
    <row r="299" spans="1:6">
      <c r="A299" s="177">
        <v>230713000</v>
      </c>
      <c r="B299" s="177">
        <v>2307130</v>
      </c>
      <c r="C299" s="177">
        <v>311</v>
      </c>
      <c r="D299" s="179">
        <v>90</v>
      </c>
      <c r="E299" s="183"/>
      <c r="F299" s="179"/>
    </row>
    <row r="300" spans="1:6">
      <c r="A300" s="177">
        <v>230732900</v>
      </c>
      <c r="B300" s="177">
        <v>2307329</v>
      </c>
      <c r="C300" s="177">
        <v>311</v>
      </c>
      <c r="D300" s="179">
        <v>1121</v>
      </c>
      <c r="E300" s="183"/>
      <c r="F300" s="179"/>
    </row>
    <row r="301" spans="1:6">
      <c r="A301" s="177">
        <v>706310000</v>
      </c>
      <c r="B301" s="177">
        <v>2307329</v>
      </c>
      <c r="C301" s="177">
        <v>315</v>
      </c>
      <c r="D301" s="179">
        <v>3910</v>
      </c>
      <c r="E301" s="183"/>
      <c r="F301" s="179"/>
    </row>
    <row r="302" spans="1:6">
      <c r="A302" s="177">
        <v>230739100</v>
      </c>
      <c r="B302" s="177">
        <v>2307391</v>
      </c>
      <c r="C302" s="177">
        <v>311</v>
      </c>
      <c r="D302" s="179">
        <v>4</v>
      </c>
      <c r="E302" s="183"/>
      <c r="F302" s="179"/>
    </row>
    <row r="303" spans="1:6">
      <c r="A303" s="177">
        <v>230761000</v>
      </c>
      <c r="B303" s="177">
        <v>2307610</v>
      </c>
      <c r="C303" s="177">
        <v>311</v>
      </c>
      <c r="D303" s="179">
        <v>37</v>
      </c>
      <c r="E303" s="183"/>
      <c r="F303" s="179"/>
    </row>
    <row r="304" spans="1:6">
      <c r="A304" s="177">
        <v>231070100</v>
      </c>
      <c r="B304" s="177">
        <v>2310701</v>
      </c>
      <c r="C304" s="177">
        <v>401</v>
      </c>
      <c r="D304" s="179">
        <v>12</v>
      </c>
      <c r="E304" s="183"/>
      <c r="F304" s="179"/>
    </row>
    <row r="305" spans="1:6">
      <c r="A305" s="177">
        <v>234080100</v>
      </c>
      <c r="B305" s="177">
        <v>2340801</v>
      </c>
      <c r="C305" s="177">
        <v>401</v>
      </c>
      <c r="D305" s="179">
        <v>745</v>
      </c>
      <c r="E305" s="183"/>
      <c r="F305" s="179"/>
    </row>
    <row r="306" spans="1:6">
      <c r="A306" s="177">
        <v>155800100</v>
      </c>
      <c r="B306" s="177">
        <v>2344810</v>
      </c>
      <c r="C306" s="177">
        <v>311</v>
      </c>
      <c r="D306" s="179">
        <v>62</v>
      </c>
      <c r="E306" s="183"/>
      <c r="F306" s="179"/>
    </row>
    <row r="307" spans="1:6">
      <c r="A307" s="177">
        <v>631300000</v>
      </c>
      <c r="B307" s="177">
        <v>2346518</v>
      </c>
      <c r="C307" s="177">
        <v>390</v>
      </c>
      <c r="D307" s="179">
        <v>76</v>
      </c>
      <c r="E307" s="183"/>
      <c r="F307" s="179"/>
    </row>
    <row r="308" spans="1:6">
      <c r="A308" s="177">
        <v>225270100</v>
      </c>
      <c r="B308" s="177">
        <v>2355220</v>
      </c>
      <c r="C308" s="177">
        <v>311</v>
      </c>
      <c r="D308" s="179">
        <v>18</v>
      </c>
      <c r="E308" s="183"/>
      <c r="F308" s="179"/>
    </row>
    <row r="309" spans="1:6">
      <c r="A309" s="177">
        <v>692370000</v>
      </c>
      <c r="B309" s="177">
        <v>2377414</v>
      </c>
      <c r="C309" s="177">
        <v>390</v>
      </c>
      <c r="D309" s="179">
        <v>706</v>
      </c>
      <c r="E309" s="183"/>
      <c r="F309" s="179"/>
    </row>
    <row r="310" spans="1:6">
      <c r="A310" s="177">
        <v>640570000</v>
      </c>
      <c r="B310" s="177">
        <v>2383404</v>
      </c>
      <c r="C310" s="177">
        <v>390</v>
      </c>
      <c r="D310" s="179">
        <v>482</v>
      </c>
      <c r="E310" s="183"/>
      <c r="F310" s="179"/>
    </row>
    <row r="311" spans="1:6">
      <c r="A311" s="177">
        <v>238400200</v>
      </c>
      <c r="B311" s="177">
        <v>2384002</v>
      </c>
      <c r="C311" s="177">
        <v>401</v>
      </c>
      <c r="D311" s="179">
        <v>51</v>
      </c>
      <c r="E311" s="183"/>
      <c r="F311" s="179"/>
    </row>
    <row r="312" spans="1:6">
      <c r="A312" s="177">
        <v>130770100</v>
      </c>
      <c r="B312" s="177">
        <v>2384584</v>
      </c>
      <c r="C312" s="177">
        <v>311</v>
      </c>
      <c r="D312" s="179">
        <v>39</v>
      </c>
      <c r="E312" s="183"/>
      <c r="F312" s="179"/>
    </row>
    <row r="313" spans="1:6">
      <c r="A313" s="177">
        <v>106130000</v>
      </c>
      <c r="B313" s="177">
        <v>2399483</v>
      </c>
      <c r="C313" s="177">
        <v>311</v>
      </c>
      <c r="D313" s="179">
        <v>30</v>
      </c>
      <c r="E313" s="183"/>
      <c r="F313" s="179"/>
    </row>
    <row r="314" spans="1:6">
      <c r="A314" s="177">
        <v>133190200</v>
      </c>
      <c r="B314" s="177">
        <v>2410025</v>
      </c>
      <c r="C314" s="177">
        <v>312</v>
      </c>
      <c r="D314" s="179">
        <v>23</v>
      </c>
      <c r="E314" s="183"/>
      <c r="F314" s="179"/>
    </row>
    <row r="315" spans="1:6">
      <c r="A315" s="177">
        <v>671700100</v>
      </c>
      <c r="B315" s="177">
        <v>2410025</v>
      </c>
      <c r="C315" s="177">
        <v>311</v>
      </c>
      <c r="D315" s="179">
        <v>13</v>
      </c>
      <c r="E315" s="183"/>
      <c r="F315" s="179"/>
    </row>
    <row r="316" spans="1:6">
      <c r="A316" s="177">
        <v>311370300</v>
      </c>
      <c r="B316" s="177">
        <v>2424844</v>
      </c>
      <c r="C316" s="177">
        <v>810</v>
      </c>
      <c r="D316" s="179">
        <v>734</v>
      </c>
      <c r="E316" s="183"/>
      <c r="F316" s="179"/>
    </row>
    <row r="317" spans="1:6">
      <c r="A317" s="177">
        <v>379810100</v>
      </c>
      <c r="B317" s="177">
        <v>2424844</v>
      </c>
      <c r="C317" s="177">
        <v>311</v>
      </c>
      <c r="D317" s="179">
        <v>55</v>
      </c>
      <c r="E317" s="183"/>
      <c r="F317" s="179"/>
    </row>
    <row r="318" spans="1:6">
      <c r="A318" s="177">
        <v>700420000</v>
      </c>
      <c r="B318" s="177">
        <v>2432281</v>
      </c>
      <c r="C318" s="177">
        <v>401</v>
      </c>
      <c r="D318" s="179">
        <v>286</v>
      </c>
      <c r="E318" s="183"/>
      <c r="F318" s="179"/>
    </row>
    <row r="319" spans="1:6">
      <c r="A319" s="177">
        <v>246040100</v>
      </c>
      <c r="B319" s="177">
        <v>2460401</v>
      </c>
      <c r="C319" s="177">
        <v>311</v>
      </c>
      <c r="D319" s="179">
        <v>37</v>
      </c>
      <c r="E319" s="183"/>
      <c r="F319" s="179"/>
    </row>
    <row r="320" spans="1:6">
      <c r="A320" s="177">
        <v>246490000</v>
      </c>
      <c r="B320" s="177">
        <v>2464900</v>
      </c>
      <c r="C320" s="177">
        <v>401</v>
      </c>
      <c r="D320" s="179">
        <v>30</v>
      </c>
      <c r="E320" s="183"/>
      <c r="F320" s="179"/>
    </row>
    <row r="321" spans="1:6">
      <c r="A321" s="177">
        <v>247560000</v>
      </c>
      <c r="B321" s="177">
        <v>2475600</v>
      </c>
      <c r="C321" s="177">
        <v>407</v>
      </c>
      <c r="D321" s="179">
        <v>500</v>
      </c>
      <c r="E321" s="183"/>
      <c r="F321" s="179"/>
    </row>
    <row r="322" spans="1:6">
      <c r="A322" s="177">
        <v>247690100</v>
      </c>
      <c r="B322" s="177">
        <v>2476901</v>
      </c>
      <c r="C322" s="177">
        <v>311</v>
      </c>
      <c r="D322" s="179">
        <v>32</v>
      </c>
      <c r="E322" s="183"/>
      <c r="F322" s="179"/>
    </row>
    <row r="323" spans="1:6">
      <c r="A323" s="177">
        <v>179550000</v>
      </c>
      <c r="B323" s="177">
        <v>2479400</v>
      </c>
      <c r="C323" s="177">
        <v>415</v>
      </c>
      <c r="D323" s="179">
        <v>62</v>
      </c>
      <c r="E323" s="183"/>
      <c r="F323" s="179"/>
    </row>
    <row r="324" spans="1:6">
      <c r="A324" s="177">
        <v>687960000</v>
      </c>
      <c r="B324" s="177">
        <v>2479400</v>
      </c>
      <c r="C324" s="177">
        <v>311</v>
      </c>
      <c r="D324" s="179">
        <v>110</v>
      </c>
      <c r="E324" s="183"/>
      <c r="F324" s="179"/>
    </row>
    <row r="325" spans="1:6">
      <c r="A325" s="177">
        <v>248880000</v>
      </c>
      <c r="B325" s="177">
        <v>2488800</v>
      </c>
      <c r="C325" s="177">
        <v>401</v>
      </c>
      <c r="D325" s="179">
        <v>167</v>
      </c>
      <c r="E325" s="183"/>
      <c r="F325" s="179"/>
    </row>
    <row r="326" spans="1:6">
      <c r="A326" s="177">
        <v>534070310</v>
      </c>
      <c r="B326" s="177">
        <v>2502789</v>
      </c>
      <c r="C326" s="177">
        <v>311</v>
      </c>
      <c r="D326" s="179">
        <v>22</v>
      </c>
      <c r="E326" s="183"/>
      <c r="F326" s="179"/>
    </row>
    <row r="327" spans="1:6">
      <c r="A327" s="177">
        <v>251610100</v>
      </c>
      <c r="B327" s="177">
        <v>2516101</v>
      </c>
      <c r="C327" s="177">
        <v>803</v>
      </c>
      <c r="D327" s="179">
        <v>726</v>
      </c>
      <c r="E327" s="183"/>
      <c r="F327" s="179"/>
    </row>
    <row r="328" spans="1:6">
      <c r="A328" s="177">
        <v>474760000</v>
      </c>
      <c r="B328" s="177">
        <v>2516101</v>
      </c>
      <c r="C328" s="177">
        <v>311</v>
      </c>
      <c r="D328" s="179">
        <v>15</v>
      </c>
      <c r="E328" s="183"/>
      <c r="F328" s="179"/>
    </row>
    <row r="329" spans="1:6">
      <c r="A329" s="177">
        <v>699930000</v>
      </c>
      <c r="B329" s="177">
        <v>2516101</v>
      </c>
      <c r="C329" s="177">
        <v>401</v>
      </c>
      <c r="D329" s="179">
        <v>99</v>
      </c>
      <c r="E329" s="183"/>
      <c r="F329" s="179"/>
    </row>
    <row r="330" spans="1:6">
      <c r="A330" s="177">
        <v>251780100</v>
      </c>
      <c r="B330" s="177">
        <v>2517801</v>
      </c>
      <c r="C330" s="177">
        <v>321</v>
      </c>
      <c r="D330" s="179">
        <v>248</v>
      </c>
      <c r="E330" s="183"/>
      <c r="F330" s="179"/>
    </row>
    <row r="331" spans="1:6">
      <c r="A331" s="177">
        <v>252220100</v>
      </c>
      <c r="B331" s="177">
        <v>2522201</v>
      </c>
      <c r="C331" s="177">
        <v>311</v>
      </c>
      <c r="D331" s="179">
        <v>25</v>
      </c>
      <c r="E331" s="183"/>
      <c r="F331" s="179"/>
    </row>
    <row r="332" spans="1:6">
      <c r="A332" s="177">
        <v>253040000</v>
      </c>
      <c r="B332" s="177">
        <v>2530400</v>
      </c>
      <c r="C332" s="177">
        <v>901</v>
      </c>
      <c r="D332" s="179">
        <v>742</v>
      </c>
      <c r="E332" s="183"/>
      <c r="F332" s="179"/>
    </row>
    <row r="333" spans="1:6">
      <c r="A333" s="177">
        <v>133110000</v>
      </c>
      <c r="B333" s="177">
        <v>2537710</v>
      </c>
      <c r="C333" s="177">
        <v>311</v>
      </c>
      <c r="D333" s="179">
        <v>18</v>
      </c>
      <c r="E333" s="183"/>
      <c r="F333" s="179"/>
    </row>
    <row r="334" spans="1:6">
      <c r="A334" s="177">
        <v>254240100</v>
      </c>
      <c r="B334" s="177">
        <v>2542401</v>
      </c>
      <c r="C334" s="177">
        <v>311</v>
      </c>
      <c r="D334" s="179">
        <v>42</v>
      </c>
      <c r="E334" s="183"/>
      <c r="F334" s="179"/>
    </row>
    <row r="335" spans="1:6">
      <c r="A335" s="177">
        <v>331570000</v>
      </c>
      <c r="B335" s="177">
        <v>2570806</v>
      </c>
      <c r="C335" s="177">
        <v>401</v>
      </c>
      <c r="D335" s="179">
        <v>22</v>
      </c>
      <c r="E335" s="183"/>
      <c r="F335" s="179"/>
    </row>
    <row r="336" spans="1:6">
      <c r="A336" s="177">
        <v>169900300</v>
      </c>
      <c r="B336" s="177">
        <v>2595551</v>
      </c>
      <c r="C336" s="177">
        <v>401</v>
      </c>
      <c r="D336" s="179">
        <v>28</v>
      </c>
      <c r="E336" s="183"/>
      <c r="F336" s="179"/>
    </row>
    <row r="337" spans="1:6">
      <c r="A337" s="177">
        <v>536870000</v>
      </c>
      <c r="B337" s="177">
        <v>2597805</v>
      </c>
      <c r="C337" s="177">
        <v>311</v>
      </c>
      <c r="D337" s="179">
        <v>68</v>
      </c>
      <c r="E337" s="183"/>
      <c r="F337" s="179"/>
    </row>
    <row r="338" spans="1:6">
      <c r="A338" s="177">
        <v>400045700</v>
      </c>
      <c r="B338" s="177">
        <v>2600914</v>
      </c>
      <c r="C338" s="177">
        <v>661</v>
      </c>
      <c r="D338" s="179">
        <v>656</v>
      </c>
      <c r="E338" s="183"/>
      <c r="F338" s="179"/>
    </row>
    <row r="339" spans="1:6">
      <c r="A339" s="177">
        <v>673180000</v>
      </c>
      <c r="B339" s="177">
        <v>2610601</v>
      </c>
      <c r="C339" s="177">
        <v>390</v>
      </c>
      <c r="D339" s="179">
        <v>225</v>
      </c>
      <c r="E339" s="183"/>
      <c r="F339" s="179"/>
    </row>
    <row r="340" spans="1:6">
      <c r="A340" s="177">
        <v>263980000</v>
      </c>
      <c r="B340" s="177">
        <v>2639800</v>
      </c>
      <c r="C340" s="177">
        <v>508</v>
      </c>
      <c r="D340" s="179">
        <v>530</v>
      </c>
      <c r="E340" s="183"/>
      <c r="F340" s="179"/>
    </row>
    <row r="341" spans="1:6">
      <c r="A341" s="177">
        <v>267740000</v>
      </c>
      <c r="B341" s="177">
        <v>2677400</v>
      </c>
      <c r="C341" s="177">
        <v>507</v>
      </c>
      <c r="D341" s="179">
        <v>120</v>
      </c>
      <c r="E341" s="183"/>
      <c r="F341" s="179"/>
    </row>
    <row r="342" spans="1:6">
      <c r="A342" s="177">
        <v>271270000</v>
      </c>
      <c r="B342" s="177">
        <v>2712700</v>
      </c>
      <c r="C342" s="177">
        <v>311</v>
      </c>
      <c r="D342" s="179">
        <v>15</v>
      </c>
      <c r="E342" s="183"/>
      <c r="F342" s="179"/>
    </row>
    <row r="343" spans="1:6">
      <c r="A343" s="177">
        <v>876680000</v>
      </c>
      <c r="B343" s="177">
        <v>2780401</v>
      </c>
      <c r="C343" s="177">
        <v>311</v>
      </c>
      <c r="D343" s="179">
        <v>66</v>
      </c>
      <c r="E343" s="183"/>
      <c r="F343" s="179"/>
    </row>
    <row r="344" spans="1:6">
      <c r="A344" s="177">
        <v>876680100</v>
      </c>
      <c r="B344" s="177">
        <v>2780401</v>
      </c>
      <c r="C344" s="177">
        <v>811</v>
      </c>
      <c r="D344" s="179">
        <v>26</v>
      </c>
      <c r="E344" s="183"/>
      <c r="F344" s="179"/>
    </row>
    <row r="345" spans="1:6">
      <c r="A345" s="177">
        <v>97400000</v>
      </c>
      <c r="B345" s="177">
        <v>2796601</v>
      </c>
      <c r="C345" s="177">
        <v>311</v>
      </c>
      <c r="D345" s="179">
        <v>397</v>
      </c>
      <c r="E345" s="183"/>
      <c r="F345" s="179"/>
    </row>
    <row r="346" spans="1:6">
      <c r="A346" s="177">
        <v>279660700</v>
      </c>
      <c r="B346" s="177">
        <v>2796601</v>
      </c>
      <c r="C346" s="177">
        <v>313</v>
      </c>
      <c r="D346" s="179">
        <v>3788</v>
      </c>
      <c r="E346" s="183"/>
      <c r="F346" s="179"/>
    </row>
    <row r="347" spans="1:6">
      <c r="A347" s="177">
        <v>813600000</v>
      </c>
      <c r="B347" s="177">
        <v>2796601</v>
      </c>
      <c r="C347" s="177">
        <v>313</v>
      </c>
      <c r="D347" s="179">
        <v>706</v>
      </c>
      <c r="E347" s="183"/>
      <c r="F347" s="179"/>
    </row>
    <row r="348" spans="1:6">
      <c r="A348" s="177">
        <v>813600100</v>
      </c>
      <c r="B348" s="177">
        <v>2796601</v>
      </c>
      <c r="C348" s="177">
        <v>810</v>
      </c>
      <c r="D348" s="179">
        <v>375</v>
      </c>
      <c r="E348" s="183"/>
      <c r="F348" s="179"/>
    </row>
    <row r="349" spans="1:6">
      <c r="A349" s="177">
        <v>824710200</v>
      </c>
      <c r="B349" s="177">
        <v>2796601</v>
      </c>
      <c r="C349" s="177">
        <v>311</v>
      </c>
      <c r="D349" s="179">
        <v>354</v>
      </c>
      <c r="E349" s="183"/>
      <c r="F349" s="179"/>
    </row>
    <row r="350" spans="1:6">
      <c r="A350" s="177">
        <v>898600000</v>
      </c>
      <c r="B350" s="177">
        <v>2796601</v>
      </c>
      <c r="C350" s="177">
        <v>401</v>
      </c>
      <c r="D350" s="179">
        <v>1437</v>
      </c>
      <c r="E350" s="183"/>
      <c r="F350" s="179"/>
    </row>
    <row r="351" spans="1:6">
      <c r="A351" s="177">
        <v>1022480000</v>
      </c>
      <c r="B351" s="177">
        <v>2796601</v>
      </c>
      <c r="C351" s="177">
        <v>313</v>
      </c>
      <c r="D351" s="179">
        <v>1009</v>
      </c>
      <c r="E351" s="183"/>
      <c r="F351" s="179"/>
    </row>
    <row r="352" spans="1:6">
      <c r="A352" s="177">
        <v>283060000</v>
      </c>
      <c r="B352" s="177">
        <v>2830600</v>
      </c>
      <c r="C352" s="177">
        <v>311</v>
      </c>
      <c r="D352" s="179">
        <v>26</v>
      </c>
      <c r="E352" s="183"/>
      <c r="F352" s="179"/>
    </row>
    <row r="353" spans="1:6">
      <c r="A353" s="177">
        <v>283510000</v>
      </c>
      <c r="B353" s="177">
        <v>2835100</v>
      </c>
      <c r="C353" s="177">
        <v>507</v>
      </c>
      <c r="D353" s="179">
        <v>61</v>
      </c>
      <c r="E353" s="183"/>
      <c r="F353" s="179"/>
    </row>
    <row r="354" spans="1:6">
      <c r="A354" s="177">
        <v>560640000</v>
      </c>
      <c r="B354" s="177">
        <v>2840460</v>
      </c>
      <c r="C354" s="177">
        <v>401</v>
      </c>
      <c r="D354" s="179">
        <v>28</v>
      </c>
      <c r="E354" s="183"/>
      <c r="F354" s="179"/>
    </row>
    <row r="355" spans="1:6">
      <c r="A355" s="177">
        <v>148270000</v>
      </c>
      <c r="B355" s="177">
        <v>2840726</v>
      </c>
      <c r="C355" s="177">
        <v>311</v>
      </c>
      <c r="D355" s="179">
        <v>117</v>
      </c>
      <c r="E355" s="183"/>
      <c r="F355" s="179"/>
    </row>
    <row r="356" spans="1:6">
      <c r="A356" s="177">
        <v>150870000</v>
      </c>
      <c r="B356" s="177">
        <v>2840726</v>
      </c>
      <c r="C356" s="177">
        <v>401</v>
      </c>
      <c r="D356" s="179">
        <v>29</v>
      </c>
      <c r="E356" s="183"/>
      <c r="F356" s="179"/>
    </row>
    <row r="357" spans="1:6">
      <c r="A357" s="177">
        <v>336480200</v>
      </c>
      <c r="B357" s="177">
        <v>2843753</v>
      </c>
      <c r="C357" s="177">
        <v>311</v>
      </c>
      <c r="D357" s="179">
        <v>10</v>
      </c>
      <c r="E357" s="183"/>
      <c r="F357" s="179"/>
    </row>
    <row r="358" spans="1:6">
      <c r="A358" s="177">
        <v>285350000</v>
      </c>
      <c r="B358" s="177">
        <v>2853501</v>
      </c>
      <c r="C358" s="177">
        <v>311</v>
      </c>
      <c r="D358" s="179">
        <v>48</v>
      </c>
      <c r="E358" s="183"/>
      <c r="F358" s="179"/>
    </row>
    <row r="359" spans="1:6">
      <c r="A359" s="177">
        <v>717320000</v>
      </c>
      <c r="B359" s="177">
        <v>2865000</v>
      </c>
      <c r="C359" s="177">
        <v>315</v>
      </c>
      <c r="D359" s="179">
        <v>121</v>
      </c>
      <c r="E359" s="183"/>
      <c r="F359" s="179"/>
    </row>
    <row r="360" spans="1:6">
      <c r="A360" s="177">
        <v>447720000</v>
      </c>
      <c r="B360" s="177">
        <v>2871916</v>
      </c>
      <c r="C360" s="177">
        <v>311</v>
      </c>
      <c r="D360" s="179">
        <v>19</v>
      </c>
      <c r="E360" s="183"/>
      <c r="F360" s="179"/>
    </row>
    <row r="361" spans="1:6">
      <c r="A361" s="177">
        <v>288260100</v>
      </c>
      <c r="B361" s="177">
        <v>2882601</v>
      </c>
      <c r="C361" s="177">
        <v>902</v>
      </c>
      <c r="D361" s="179">
        <v>1559</v>
      </c>
      <c r="E361" s="183"/>
      <c r="F361" s="179"/>
    </row>
    <row r="362" spans="1:6">
      <c r="A362" s="177">
        <v>170230000</v>
      </c>
      <c r="B362" s="177">
        <v>2887065</v>
      </c>
      <c r="C362" s="177">
        <v>401</v>
      </c>
      <c r="D362" s="179">
        <v>106</v>
      </c>
      <c r="E362" s="183"/>
      <c r="F362" s="179"/>
    </row>
    <row r="363" spans="1:6">
      <c r="A363" s="177">
        <v>291580100</v>
      </c>
      <c r="B363" s="177">
        <v>2915801</v>
      </c>
      <c r="C363" s="177">
        <v>311</v>
      </c>
      <c r="D363" s="179">
        <v>47</v>
      </c>
      <c r="E363" s="183"/>
      <c r="F363" s="179"/>
    </row>
    <row r="364" spans="1:6">
      <c r="A364" s="177">
        <v>803600000</v>
      </c>
      <c r="B364" s="177">
        <v>2938802</v>
      </c>
      <c r="C364" s="177">
        <v>313</v>
      </c>
      <c r="D364" s="179">
        <v>226</v>
      </c>
      <c r="E364" s="183"/>
      <c r="F364" s="179"/>
    </row>
    <row r="365" spans="1:6">
      <c r="A365" s="177">
        <v>296880000</v>
      </c>
      <c r="B365" s="177">
        <v>2968888</v>
      </c>
      <c r="C365" s="177">
        <v>311</v>
      </c>
      <c r="D365" s="179">
        <v>1245</v>
      </c>
      <c r="E365" s="183"/>
      <c r="F365" s="179"/>
    </row>
    <row r="366" spans="1:6">
      <c r="A366" s="177">
        <v>296880600</v>
      </c>
      <c r="B366" s="177">
        <v>2968888</v>
      </c>
      <c r="C366" s="177">
        <v>810</v>
      </c>
      <c r="D366" s="179">
        <v>727</v>
      </c>
      <c r="E366" s="183"/>
      <c r="F366" s="179"/>
    </row>
    <row r="367" spans="1:6">
      <c r="A367" s="177">
        <v>297680001</v>
      </c>
      <c r="B367" s="177">
        <v>2976800</v>
      </c>
      <c r="C367" s="177">
        <v>403</v>
      </c>
      <c r="D367" s="179">
        <v>5681</v>
      </c>
      <c r="E367" s="183"/>
      <c r="F367" s="179"/>
    </row>
    <row r="368" spans="1:6">
      <c r="A368" s="177">
        <v>297680100</v>
      </c>
      <c r="B368" s="177">
        <v>2976801</v>
      </c>
      <c r="C368" s="177">
        <v>403</v>
      </c>
      <c r="D368" s="179">
        <v>15924</v>
      </c>
      <c r="E368" s="183"/>
      <c r="F368" s="179"/>
    </row>
    <row r="369" spans="1:6">
      <c r="A369" s="177">
        <v>154610000</v>
      </c>
      <c r="B369" s="177">
        <v>3007776</v>
      </c>
      <c r="C369" s="177">
        <v>311</v>
      </c>
      <c r="D369" s="179">
        <v>24</v>
      </c>
      <c r="E369" s="183"/>
      <c r="F369" s="179"/>
    </row>
    <row r="370" spans="1:6">
      <c r="A370" s="177">
        <v>133820000</v>
      </c>
      <c r="B370" s="177">
        <v>3019015</v>
      </c>
      <c r="C370" s="177">
        <v>311</v>
      </c>
      <c r="D370" s="179">
        <v>5</v>
      </c>
      <c r="E370" s="183"/>
      <c r="F370" s="179"/>
    </row>
    <row r="371" spans="1:6">
      <c r="A371" s="177">
        <v>816950000</v>
      </c>
      <c r="B371" s="177">
        <v>3061367</v>
      </c>
      <c r="C371" s="177">
        <v>311</v>
      </c>
      <c r="D371" s="179">
        <v>94</v>
      </c>
      <c r="E371" s="183"/>
      <c r="F371" s="179"/>
    </row>
    <row r="372" spans="1:6">
      <c r="A372" s="177">
        <v>669670000</v>
      </c>
      <c r="B372" s="177">
        <v>3083342</v>
      </c>
      <c r="C372" s="177">
        <v>311</v>
      </c>
      <c r="D372" s="179">
        <v>23</v>
      </c>
      <c r="E372" s="183"/>
      <c r="F372" s="179"/>
    </row>
    <row r="373" spans="1:6">
      <c r="A373" s="177">
        <v>564760000</v>
      </c>
      <c r="B373" s="177">
        <v>3088846</v>
      </c>
      <c r="C373" s="177">
        <v>311</v>
      </c>
      <c r="D373" s="179">
        <v>20</v>
      </c>
      <c r="E373" s="183"/>
      <c r="F373" s="179"/>
    </row>
    <row r="374" spans="1:6">
      <c r="A374" s="177">
        <v>309590000</v>
      </c>
      <c r="B374" s="177">
        <v>3095900</v>
      </c>
      <c r="C374" s="177">
        <v>315</v>
      </c>
      <c r="D374" s="179">
        <v>1378</v>
      </c>
      <c r="E374" s="183"/>
      <c r="F374" s="179"/>
    </row>
    <row r="375" spans="1:6">
      <c r="A375" s="177">
        <v>831590000</v>
      </c>
      <c r="B375" s="177">
        <v>3142197</v>
      </c>
      <c r="C375" s="177">
        <v>311</v>
      </c>
      <c r="D375" s="179">
        <v>400</v>
      </c>
      <c r="E375" s="183"/>
      <c r="F375" s="179"/>
    </row>
    <row r="376" spans="1:6">
      <c r="A376" s="177">
        <v>831590100</v>
      </c>
      <c r="B376" s="177">
        <v>3142197</v>
      </c>
      <c r="C376" s="177">
        <v>810</v>
      </c>
      <c r="D376" s="179">
        <v>64</v>
      </c>
      <c r="E376" s="183"/>
      <c r="F376" s="179"/>
    </row>
    <row r="377" spans="1:6">
      <c r="A377" s="177">
        <v>120240000</v>
      </c>
      <c r="B377" s="177">
        <v>3142494</v>
      </c>
      <c r="C377" s="177">
        <v>311</v>
      </c>
      <c r="D377" s="179">
        <v>98</v>
      </c>
      <c r="E377" s="183"/>
      <c r="F377" s="179"/>
    </row>
    <row r="378" spans="1:6">
      <c r="A378" s="177">
        <v>80140100</v>
      </c>
      <c r="B378" s="177">
        <v>3143187</v>
      </c>
      <c r="C378" s="177">
        <v>401</v>
      </c>
      <c r="D378" s="179">
        <v>111</v>
      </c>
      <c r="E378" s="183"/>
      <c r="F378" s="179"/>
    </row>
    <row r="379" spans="1:6">
      <c r="A379" s="177">
        <v>564810000</v>
      </c>
      <c r="B379" s="177">
        <v>3143310</v>
      </c>
      <c r="C379" s="177">
        <v>401</v>
      </c>
      <c r="D379" s="179">
        <v>76</v>
      </c>
      <c r="E379" s="183"/>
      <c r="F379" s="179"/>
    </row>
    <row r="380" spans="1:6">
      <c r="A380" s="177">
        <v>616110000</v>
      </c>
      <c r="B380" s="177">
        <v>3143633</v>
      </c>
      <c r="C380" s="177">
        <v>401</v>
      </c>
      <c r="D380" s="179">
        <v>73</v>
      </c>
      <c r="E380" s="183"/>
      <c r="F380" s="179"/>
    </row>
    <row r="381" spans="1:6">
      <c r="A381" s="177">
        <v>639470000</v>
      </c>
      <c r="B381" s="177">
        <v>3144029</v>
      </c>
      <c r="C381" s="177">
        <v>390</v>
      </c>
      <c r="D381" s="179">
        <v>573</v>
      </c>
      <c r="E381" s="183"/>
      <c r="F381" s="179"/>
    </row>
    <row r="382" spans="1:6">
      <c r="A382" s="177">
        <v>831310000</v>
      </c>
      <c r="B382" s="177">
        <v>3145109</v>
      </c>
      <c r="C382" s="177">
        <v>311</v>
      </c>
      <c r="D382" s="179">
        <v>48</v>
      </c>
      <c r="E382" s="183"/>
      <c r="F382" s="179"/>
    </row>
    <row r="383" spans="1:6">
      <c r="A383" s="177">
        <v>673170000</v>
      </c>
      <c r="B383" s="177">
        <v>3146800</v>
      </c>
      <c r="C383" s="177">
        <v>390</v>
      </c>
      <c r="D383" s="179">
        <v>225</v>
      </c>
      <c r="E383" s="183"/>
      <c r="F383" s="179"/>
    </row>
    <row r="384" spans="1:6">
      <c r="A384" s="177">
        <v>150000000</v>
      </c>
      <c r="B384" s="177">
        <v>3148798</v>
      </c>
      <c r="C384" s="177">
        <v>311</v>
      </c>
      <c r="D384" s="179">
        <v>56</v>
      </c>
      <c r="E384" s="183"/>
      <c r="F384" s="179"/>
    </row>
    <row r="385" spans="1:6">
      <c r="A385" s="177">
        <v>108610100</v>
      </c>
      <c r="B385" s="177">
        <v>3149127</v>
      </c>
      <c r="C385" s="177">
        <v>311</v>
      </c>
      <c r="D385" s="179">
        <v>54</v>
      </c>
      <c r="E385" s="183"/>
      <c r="F385" s="179"/>
    </row>
    <row r="386" spans="1:6">
      <c r="A386" s="177">
        <v>191100000</v>
      </c>
      <c r="B386" s="177">
        <v>3149259</v>
      </c>
      <c r="C386" s="177">
        <v>311</v>
      </c>
      <c r="D386" s="179">
        <v>60</v>
      </c>
      <c r="E386" s="183"/>
      <c r="F386" s="179"/>
    </row>
    <row r="387" spans="1:6">
      <c r="A387" s="177">
        <v>653090000</v>
      </c>
      <c r="B387" s="177">
        <v>3152089</v>
      </c>
      <c r="C387" s="177">
        <v>390</v>
      </c>
      <c r="D387" s="179">
        <v>389</v>
      </c>
      <c r="E387" s="183"/>
      <c r="F387" s="179"/>
    </row>
    <row r="388" spans="1:6">
      <c r="A388" s="177">
        <v>170290000</v>
      </c>
      <c r="B388" s="177">
        <v>3153301</v>
      </c>
      <c r="C388" s="177">
        <v>401</v>
      </c>
      <c r="D388" s="179">
        <v>58</v>
      </c>
      <c r="E388" s="183"/>
      <c r="F388" s="179"/>
    </row>
    <row r="389" spans="1:6">
      <c r="A389" s="177">
        <v>795370000</v>
      </c>
      <c r="B389" s="177">
        <v>3154788</v>
      </c>
      <c r="C389" s="177">
        <v>315</v>
      </c>
      <c r="D389" s="179">
        <v>29</v>
      </c>
      <c r="E389" s="183"/>
      <c r="F389" s="179"/>
    </row>
    <row r="390" spans="1:6">
      <c r="A390" s="177">
        <v>74120100</v>
      </c>
      <c r="B390" s="177">
        <v>3155272</v>
      </c>
      <c r="C390" s="177">
        <v>401</v>
      </c>
      <c r="D390" s="179">
        <v>94</v>
      </c>
      <c r="E390" s="183"/>
      <c r="F390" s="179"/>
    </row>
    <row r="391" spans="1:6">
      <c r="A391" s="177">
        <v>315570100</v>
      </c>
      <c r="B391" s="177">
        <v>3155701</v>
      </c>
      <c r="C391" s="177">
        <v>311</v>
      </c>
      <c r="D391" s="179">
        <v>18</v>
      </c>
      <c r="E391" s="183"/>
      <c r="F391" s="179"/>
    </row>
    <row r="392" spans="1:6">
      <c r="A392" s="177">
        <v>178980000</v>
      </c>
      <c r="B392" s="177">
        <v>3156924</v>
      </c>
      <c r="C392" s="177">
        <v>311</v>
      </c>
      <c r="D392" s="179">
        <v>72</v>
      </c>
      <c r="E392" s="183"/>
      <c r="F392" s="179"/>
    </row>
    <row r="393" spans="1:6">
      <c r="A393" s="177">
        <v>140220200</v>
      </c>
      <c r="B393" s="177">
        <v>3158557</v>
      </c>
      <c r="C393" s="177">
        <v>311</v>
      </c>
      <c r="D393" s="179">
        <v>53</v>
      </c>
      <c r="E393" s="183"/>
      <c r="F393" s="179"/>
    </row>
    <row r="394" spans="1:6">
      <c r="A394" s="177">
        <v>664380000</v>
      </c>
      <c r="B394" s="177">
        <v>3158607</v>
      </c>
      <c r="C394" s="177">
        <v>390</v>
      </c>
      <c r="D394" s="179">
        <v>54</v>
      </c>
      <c r="E394" s="183"/>
      <c r="F394" s="179"/>
    </row>
    <row r="395" spans="1:6">
      <c r="A395" s="177">
        <v>135870100</v>
      </c>
      <c r="B395" s="177">
        <v>3162369</v>
      </c>
      <c r="C395" s="177">
        <v>401</v>
      </c>
      <c r="D395" s="179">
        <v>8</v>
      </c>
      <c r="E395" s="183"/>
      <c r="F395" s="179"/>
    </row>
    <row r="396" spans="1:6">
      <c r="A396" s="177">
        <v>659510000</v>
      </c>
      <c r="B396" s="177">
        <v>3176278</v>
      </c>
      <c r="C396" s="177">
        <v>390</v>
      </c>
      <c r="D396" s="179">
        <v>317</v>
      </c>
      <c r="E396" s="183"/>
      <c r="F396" s="179"/>
    </row>
    <row r="397" spans="1:6">
      <c r="A397" s="177">
        <v>186320200</v>
      </c>
      <c r="B397" s="177">
        <v>3180288</v>
      </c>
      <c r="C397" s="177">
        <v>311</v>
      </c>
      <c r="D397" s="179">
        <v>261</v>
      </c>
      <c r="E397" s="183"/>
      <c r="F397" s="179"/>
    </row>
    <row r="398" spans="1:6">
      <c r="A398" s="177">
        <v>131810100</v>
      </c>
      <c r="B398" s="177">
        <v>3180791</v>
      </c>
      <c r="C398" s="177">
        <v>311</v>
      </c>
      <c r="D398" s="179">
        <v>44</v>
      </c>
      <c r="E398" s="183"/>
      <c r="F398" s="179"/>
    </row>
    <row r="399" spans="1:6">
      <c r="A399" s="177">
        <v>400187800</v>
      </c>
      <c r="B399" s="177">
        <v>3181245</v>
      </c>
      <c r="C399" s="177">
        <v>661</v>
      </c>
      <c r="D399" s="179">
        <v>851</v>
      </c>
      <c r="E399" s="183"/>
      <c r="F399" s="179"/>
    </row>
    <row r="400" spans="1:6">
      <c r="A400" s="177">
        <v>179280000</v>
      </c>
      <c r="B400" s="177">
        <v>3181799</v>
      </c>
      <c r="C400" s="177">
        <v>311</v>
      </c>
      <c r="D400" s="179">
        <v>17</v>
      </c>
      <c r="E400" s="183"/>
      <c r="F400" s="179"/>
    </row>
    <row r="401" spans="1:6">
      <c r="A401" s="177">
        <v>380300000</v>
      </c>
      <c r="B401" s="177">
        <v>3188554</v>
      </c>
      <c r="C401" s="177">
        <v>401</v>
      </c>
      <c r="D401" s="179">
        <v>36</v>
      </c>
      <c r="E401" s="183"/>
      <c r="F401" s="179"/>
    </row>
    <row r="402" spans="1:6">
      <c r="A402" s="177">
        <v>389340000</v>
      </c>
      <c r="B402" s="177">
        <v>3188604</v>
      </c>
      <c r="C402" s="177">
        <v>401</v>
      </c>
      <c r="D402" s="179">
        <v>39</v>
      </c>
      <c r="E402" s="183"/>
      <c r="F402" s="179"/>
    </row>
    <row r="403" spans="1:6">
      <c r="A403" s="177">
        <v>400053700</v>
      </c>
      <c r="B403" s="177">
        <v>3188885</v>
      </c>
      <c r="C403" s="177">
        <v>661</v>
      </c>
      <c r="D403" s="179">
        <v>500</v>
      </c>
      <c r="E403" s="183"/>
      <c r="F403" s="179"/>
    </row>
    <row r="404" spans="1:6">
      <c r="A404" s="177">
        <v>400053800</v>
      </c>
      <c r="B404" s="177">
        <v>3188885</v>
      </c>
      <c r="C404" s="177">
        <v>661</v>
      </c>
      <c r="D404" s="179">
        <v>500</v>
      </c>
      <c r="E404" s="183"/>
      <c r="F404" s="179"/>
    </row>
    <row r="405" spans="1:6">
      <c r="A405" s="177">
        <v>400054600</v>
      </c>
      <c r="B405" s="177">
        <v>3188885</v>
      </c>
      <c r="C405" s="177">
        <v>661</v>
      </c>
      <c r="D405" s="179">
        <v>500</v>
      </c>
      <c r="E405" s="183"/>
      <c r="F405" s="179"/>
    </row>
    <row r="406" spans="1:6">
      <c r="A406" s="177">
        <v>400055100</v>
      </c>
      <c r="B406" s="177">
        <v>3188885</v>
      </c>
      <c r="C406" s="177">
        <v>661</v>
      </c>
      <c r="D406" s="179">
        <v>500</v>
      </c>
      <c r="E406" s="183"/>
      <c r="F406" s="179"/>
    </row>
    <row r="407" spans="1:6">
      <c r="A407" s="177">
        <v>400055500</v>
      </c>
      <c r="B407" s="177">
        <v>3188885</v>
      </c>
      <c r="C407" s="177">
        <v>661</v>
      </c>
      <c r="D407" s="179">
        <v>500</v>
      </c>
      <c r="E407" s="183"/>
      <c r="F407" s="179"/>
    </row>
    <row r="408" spans="1:6">
      <c r="A408" s="177">
        <v>400055600</v>
      </c>
      <c r="B408" s="177">
        <v>3188885</v>
      </c>
      <c r="C408" s="177">
        <v>661</v>
      </c>
      <c r="D408" s="179">
        <v>500</v>
      </c>
      <c r="E408" s="183"/>
      <c r="F408" s="179"/>
    </row>
    <row r="409" spans="1:6">
      <c r="A409" s="177">
        <v>400076100</v>
      </c>
      <c r="B409" s="177">
        <v>3188885</v>
      </c>
      <c r="C409" s="177">
        <v>661</v>
      </c>
      <c r="D409" s="179">
        <v>507</v>
      </c>
      <c r="E409" s="183"/>
      <c r="F409" s="179"/>
    </row>
    <row r="410" spans="1:6">
      <c r="A410" s="177">
        <v>400077200</v>
      </c>
      <c r="B410" s="177">
        <v>3188885</v>
      </c>
      <c r="C410" s="177">
        <v>661</v>
      </c>
      <c r="D410" s="179">
        <v>501</v>
      </c>
      <c r="E410" s="183"/>
      <c r="F410" s="179"/>
    </row>
    <row r="411" spans="1:6">
      <c r="A411" s="177">
        <v>295830000</v>
      </c>
      <c r="B411" s="177">
        <v>3188950</v>
      </c>
      <c r="C411" s="177">
        <v>315</v>
      </c>
      <c r="D411" s="179">
        <v>35</v>
      </c>
      <c r="E411" s="183"/>
      <c r="F411" s="179"/>
    </row>
    <row r="412" spans="1:6">
      <c r="A412" s="177">
        <v>841480000</v>
      </c>
      <c r="B412" s="177">
        <v>3191046</v>
      </c>
      <c r="C412" s="177">
        <v>311</v>
      </c>
      <c r="D412" s="179">
        <v>178</v>
      </c>
      <c r="E412" s="183"/>
      <c r="F412" s="179"/>
    </row>
    <row r="413" spans="1:6">
      <c r="A413" s="177">
        <v>150400200</v>
      </c>
      <c r="B413" s="177">
        <v>3193646</v>
      </c>
      <c r="C413" s="177">
        <v>401</v>
      </c>
      <c r="D413" s="179">
        <v>135</v>
      </c>
      <c r="E413" s="183"/>
      <c r="F413" s="179"/>
    </row>
    <row r="414" spans="1:6">
      <c r="A414" s="177">
        <v>619790000</v>
      </c>
      <c r="B414" s="177">
        <v>3193646</v>
      </c>
      <c r="C414" s="177">
        <v>810</v>
      </c>
      <c r="D414" s="179">
        <v>422</v>
      </c>
      <c r="E414" s="183"/>
      <c r="F414" s="179"/>
    </row>
    <row r="415" spans="1:6">
      <c r="A415" s="177">
        <v>16930000</v>
      </c>
      <c r="B415" s="177">
        <v>3193760</v>
      </c>
      <c r="C415" s="177">
        <v>401</v>
      </c>
      <c r="D415" s="179">
        <v>91</v>
      </c>
      <c r="E415" s="183"/>
      <c r="F415" s="179"/>
    </row>
    <row r="416" spans="1:6">
      <c r="A416" s="177">
        <v>804270000</v>
      </c>
      <c r="B416" s="177">
        <v>3193902</v>
      </c>
      <c r="C416" s="177">
        <v>313</v>
      </c>
      <c r="D416" s="179">
        <v>646</v>
      </c>
      <c r="E416" s="183"/>
      <c r="F416" s="179"/>
    </row>
    <row r="417" spans="1:6">
      <c r="A417" s="177">
        <v>952140000</v>
      </c>
      <c r="B417" s="177">
        <v>3193902</v>
      </c>
      <c r="C417" s="177">
        <v>323</v>
      </c>
      <c r="D417" s="179">
        <v>5482</v>
      </c>
      <c r="E417" s="183"/>
      <c r="F417" s="179"/>
    </row>
    <row r="418" spans="1:6">
      <c r="A418" s="177">
        <v>952150000</v>
      </c>
      <c r="B418" s="177">
        <v>3193902</v>
      </c>
      <c r="C418" s="177">
        <v>811</v>
      </c>
      <c r="D418" s="179">
        <v>3455</v>
      </c>
      <c r="E418" s="183"/>
      <c r="F418" s="179"/>
    </row>
    <row r="419" spans="1:6">
      <c r="A419" s="177">
        <v>638080000</v>
      </c>
      <c r="B419" s="177">
        <v>3197258</v>
      </c>
      <c r="C419" s="177">
        <v>311</v>
      </c>
      <c r="D419" s="179">
        <v>114</v>
      </c>
      <c r="E419" s="183"/>
      <c r="F419" s="179"/>
    </row>
    <row r="420" spans="1:6">
      <c r="A420" s="177">
        <v>166440100</v>
      </c>
      <c r="B420" s="177">
        <v>3198140</v>
      </c>
      <c r="C420" s="177">
        <v>315</v>
      </c>
      <c r="D420" s="179">
        <v>31</v>
      </c>
      <c r="E420" s="183"/>
      <c r="F420" s="179"/>
    </row>
    <row r="421" spans="1:6">
      <c r="A421" s="177">
        <v>89170400</v>
      </c>
      <c r="B421" s="177">
        <v>3198629</v>
      </c>
      <c r="C421" s="177">
        <v>401</v>
      </c>
      <c r="D421" s="179">
        <v>192</v>
      </c>
      <c r="E421" s="183"/>
      <c r="F421" s="179"/>
    </row>
    <row r="422" spans="1:6">
      <c r="A422" s="177">
        <v>289800000</v>
      </c>
      <c r="B422" s="177">
        <v>3202454</v>
      </c>
      <c r="C422" s="177">
        <v>401</v>
      </c>
      <c r="D422" s="179">
        <v>204</v>
      </c>
      <c r="E422" s="183"/>
      <c r="F422" s="179"/>
    </row>
    <row r="423" spans="1:6">
      <c r="A423" s="177">
        <v>93420100</v>
      </c>
      <c r="B423" s="177">
        <v>3202504</v>
      </c>
      <c r="C423" s="177">
        <v>321</v>
      </c>
      <c r="D423" s="179">
        <v>60</v>
      </c>
      <c r="E423" s="183"/>
      <c r="F423" s="179"/>
    </row>
    <row r="424" spans="1:6">
      <c r="A424" s="177">
        <v>133750000</v>
      </c>
      <c r="B424" s="177">
        <v>3202694</v>
      </c>
      <c r="C424" s="177">
        <v>311</v>
      </c>
      <c r="D424" s="179">
        <v>12</v>
      </c>
      <c r="E424" s="183"/>
      <c r="F424" s="179"/>
    </row>
    <row r="425" spans="1:6">
      <c r="A425" s="177">
        <v>320290000</v>
      </c>
      <c r="B425" s="177">
        <v>3202900</v>
      </c>
      <c r="C425" s="177">
        <v>311</v>
      </c>
      <c r="D425" s="179">
        <v>80</v>
      </c>
      <c r="E425" s="183"/>
      <c r="F425" s="179"/>
    </row>
    <row r="426" spans="1:6">
      <c r="A426" s="177">
        <v>320290100</v>
      </c>
      <c r="B426" s="177">
        <v>3202900</v>
      </c>
      <c r="C426" s="177">
        <v>401</v>
      </c>
      <c r="D426" s="179">
        <v>32</v>
      </c>
      <c r="E426" s="183"/>
      <c r="F426" s="179"/>
    </row>
    <row r="427" spans="1:6">
      <c r="A427" s="177">
        <v>148570000</v>
      </c>
      <c r="B427" s="177">
        <v>3203601</v>
      </c>
      <c r="C427" s="177">
        <v>315</v>
      </c>
      <c r="D427" s="179">
        <v>55</v>
      </c>
      <c r="E427" s="183"/>
      <c r="F427" s="179"/>
    </row>
    <row r="428" spans="1:6">
      <c r="A428" s="177">
        <v>400188900</v>
      </c>
      <c r="B428" s="177">
        <v>3206208</v>
      </c>
      <c r="C428" s="177">
        <v>661</v>
      </c>
      <c r="D428" s="179">
        <v>587</v>
      </c>
      <c r="E428" s="183"/>
      <c r="F428" s="179"/>
    </row>
    <row r="429" spans="1:6">
      <c r="A429" s="177">
        <v>378630000</v>
      </c>
      <c r="B429" s="177">
        <v>3206232</v>
      </c>
      <c r="C429" s="177">
        <v>315</v>
      </c>
      <c r="D429" s="179">
        <v>11</v>
      </c>
      <c r="E429" s="183"/>
      <c r="F429" s="179"/>
    </row>
    <row r="430" spans="1:6">
      <c r="A430" s="177">
        <v>648980000</v>
      </c>
      <c r="B430" s="177">
        <v>3220076</v>
      </c>
      <c r="C430" s="177">
        <v>311</v>
      </c>
      <c r="D430" s="179">
        <v>17</v>
      </c>
      <c r="E430" s="183"/>
      <c r="F430" s="179"/>
    </row>
    <row r="431" spans="1:6">
      <c r="A431" s="177">
        <v>141570100</v>
      </c>
      <c r="B431" s="177">
        <v>3220696</v>
      </c>
      <c r="C431" s="177">
        <v>311</v>
      </c>
      <c r="D431" s="179">
        <v>162</v>
      </c>
      <c r="E431" s="183"/>
      <c r="F431" s="179"/>
    </row>
    <row r="432" spans="1:6">
      <c r="A432" s="177">
        <v>80710401</v>
      </c>
      <c r="B432" s="177">
        <v>3222288</v>
      </c>
      <c r="C432" s="177">
        <v>401</v>
      </c>
      <c r="D432" s="179">
        <v>178</v>
      </c>
      <c r="E432" s="183"/>
      <c r="F432" s="179"/>
    </row>
    <row r="433" spans="1:6">
      <c r="A433" s="177">
        <v>649790000</v>
      </c>
      <c r="B433" s="177">
        <v>3222288</v>
      </c>
      <c r="C433" s="177">
        <v>390</v>
      </c>
      <c r="D433" s="179">
        <v>1218</v>
      </c>
      <c r="E433" s="183"/>
      <c r="F433" s="179"/>
    </row>
    <row r="434" spans="1:6">
      <c r="A434" s="177">
        <v>641110100</v>
      </c>
      <c r="B434" s="177">
        <v>3223443</v>
      </c>
      <c r="C434" s="177">
        <v>401</v>
      </c>
      <c r="D434" s="179">
        <v>84</v>
      </c>
      <c r="E434" s="183"/>
      <c r="F434" s="179"/>
    </row>
    <row r="435" spans="1:6">
      <c r="A435" s="177">
        <v>524500000</v>
      </c>
      <c r="B435" s="177">
        <v>3229644</v>
      </c>
      <c r="C435" s="177">
        <v>415</v>
      </c>
      <c r="D435" s="179">
        <v>42</v>
      </c>
      <c r="E435" s="183"/>
      <c r="F435" s="179"/>
    </row>
    <row r="436" spans="1:6">
      <c r="A436" s="177">
        <v>671180000</v>
      </c>
      <c r="B436" s="177">
        <v>3229705</v>
      </c>
      <c r="C436" s="177">
        <v>311</v>
      </c>
      <c r="D436" s="179">
        <v>11</v>
      </c>
      <c r="E436" s="183"/>
      <c r="F436" s="179"/>
    </row>
    <row r="437" spans="1:6">
      <c r="A437" s="177">
        <v>230688300</v>
      </c>
      <c r="B437" s="177">
        <v>3234440</v>
      </c>
      <c r="C437" s="177">
        <v>311</v>
      </c>
      <c r="D437" s="179">
        <v>23</v>
      </c>
      <c r="E437" s="183"/>
      <c r="F437" s="179"/>
    </row>
    <row r="438" spans="1:6">
      <c r="A438" s="177">
        <v>115480400</v>
      </c>
      <c r="B438" s="177">
        <v>3234689</v>
      </c>
      <c r="C438" s="177">
        <v>311</v>
      </c>
      <c r="D438" s="179">
        <v>211</v>
      </c>
      <c r="E438" s="183"/>
      <c r="F438" s="179"/>
    </row>
    <row r="439" spans="1:6">
      <c r="A439" s="177">
        <v>336910000</v>
      </c>
      <c r="B439" s="177">
        <v>3239977</v>
      </c>
      <c r="C439" s="177">
        <v>311</v>
      </c>
      <c r="D439" s="179">
        <v>38</v>
      </c>
      <c r="E439" s="183"/>
      <c r="F439" s="179"/>
    </row>
    <row r="440" spans="1:6">
      <c r="A440" s="177">
        <v>179010000</v>
      </c>
      <c r="B440" s="177">
        <v>3243771</v>
      </c>
      <c r="C440" s="177">
        <v>401</v>
      </c>
      <c r="D440" s="179">
        <v>35</v>
      </c>
      <c r="E440" s="183"/>
      <c r="F440" s="179"/>
    </row>
    <row r="441" spans="1:6">
      <c r="A441" s="177">
        <v>629830000</v>
      </c>
      <c r="B441" s="177">
        <v>3244266</v>
      </c>
      <c r="C441" s="177">
        <v>390</v>
      </c>
      <c r="D441" s="179">
        <v>198</v>
      </c>
      <c r="E441" s="183"/>
      <c r="F441" s="179"/>
    </row>
    <row r="442" spans="1:6">
      <c r="A442" s="177">
        <v>154460100</v>
      </c>
      <c r="B442" s="177">
        <v>3245024</v>
      </c>
      <c r="C442" s="177">
        <v>311</v>
      </c>
      <c r="D442" s="179">
        <v>38</v>
      </c>
      <c r="E442" s="183"/>
      <c r="F442" s="179"/>
    </row>
    <row r="443" spans="1:6">
      <c r="A443" s="177">
        <v>164240000</v>
      </c>
      <c r="B443" s="177">
        <v>3245073</v>
      </c>
      <c r="C443" s="177">
        <v>315</v>
      </c>
      <c r="D443" s="179">
        <v>98</v>
      </c>
      <c r="E443" s="183"/>
      <c r="F443" s="179"/>
    </row>
    <row r="444" spans="1:6">
      <c r="A444" s="177">
        <v>823130000</v>
      </c>
      <c r="B444" s="177">
        <v>3247376</v>
      </c>
      <c r="C444" s="177">
        <v>311</v>
      </c>
      <c r="D444" s="179">
        <v>30</v>
      </c>
      <c r="E444" s="183"/>
      <c r="F444" s="179"/>
    </row>
    <row r="445" spans="1:6">
      <c r="A445" s="177">
        <v>203280100</v>
      </c>
      <c r="B445" s="177">
        <v>3248564</v>
      </c>
      <c r="C445" s="177">
        <v>401</v>
      </c>
      <c r="D445" s="179">
        <v>50</v>
      </c>
      <c r="E445" s="183"/>
      <c r="F445" s="179"/>
    </row>
    <row r="446" spans="1:6">
      <c r="A446" s="177">
        <v>769490100</v>
      </c>
      <c r="B446" s="177">
        <v>3248952</v>
      </c>
      <c r="C446" s="177">
        <v>311</v>
      </c>
      <c r="D446" s="179">
        <v>60</v>
      </c>
      <c r="E446" s="183"/>
      <c r="F446" s="179"/>
    </row>
    <row r="447" spans="1:6">
      <c r="A447" s="177">
        <v>154940000</v>
      </c>
      <c r="B447" s="177">
        <v>3249893</v>
      </c>
      <c r="C447" s="177">
        <v>311</v>
      </c>
      <c r="D447" s="179">
        <v>41</v>
      </c>
      <c r="E447" s="183"/>
      <c r="F447" s="179"/>
    </row>
    <row r="448" spans="1:6">
      <c r="A448" s="177">
        <v>102510300</v>
      </c>
      <c r="B448" s="177">
        <v>3250214</v>
      </c>
      <c r="C448" s="177">
        <v>311</v>
      </c>
      <c r="D448" s="179">
        <v>58</v>
      </c>
      <c r="E448" s="183"/>
      <c r="F448" s="179"/>
    </row>
    <row r="449" spans="1:6">
      <c r="A449" s="177">
        <v>188150200</v>
      </c>
      <c r="B449" s="177">
        <v>3251998</v>
      </c>
      <c r="C449" s="177">
        <v>315</v>
      </c>
      <c r="D449" s="179">
        <v>28</v>
      </c>
      <c r="E449" s="183"/>
      <c r="F449" s="179"/>
    </row>
    <row r="450" spans="1:6">
      <c r="A450" s="177">
        <v>139840100</v>
      </c>
      <c r="B450" s="177">
        <v>3253457</v>
      </c>
      <c r="C450" s="177">
        <v>311</v>
      </c>
      <c r="D450" s="179">
        <v>53</v>
      </c>
      <c r="E450" s="183"/>
      <c r="F450" s="179"/>
    </row>
    <row r="451" spans="1:6">
      <c r="A451" s="177">
        <v>195120100</v>
      </c>
      <c r="B451" s="177">
        <v>3254273</v>
      </c>
      <c r="C451" s="177">
        <v>311</v>
      </c>
      <c r="D451" s="179">
        <v>141</v>
      </c>
      <c r="E451" s="183"/>
      <c r="F451" s="179"/>
    </row>
    <row r="452" spans="1:6">
      <c r="A452" s="177">
        <v>141000000</v>
      </c>
      <c r="B452" s="177">
        <v>3257565</v>
      </c>
      <c r="C452" s="177">
        <v>311</v>
      </c>
      <c r="D452" s="179">
        <v>43</v>
      </c>
      <c r="E452" s="183"/>
      <c r="F452" s="179"/>
    </row>
    <row r="453" spans="1:6">
      <c r="A453" s="177">
        <v>889800200</v>
      </c>
      <c r="B453" s="177">
        <v>3260205</v>
      </c>
      <c r="C453" s="177">
        <v>401</v>
      </c>
      <c r="D453" s="179">
        <v>441</v>
      </c>
      <c r="E453" s="183"/>
      <c r="F453" s="179"/>
    </row>
    <row r="454" spans="1:6">
      <c r="A454" s="177">
        <v>600420000</v>
      </c>
      <c r="B454" s="177">
        <v>3263068</v>
      </c>
      <c r="C454" s="177">
        <v>311</v>
      </c>
      <c r="D454" s="179">
        <v>35</v>
      </c>
      <c r="E454" s="183"/>
      <c r="F454" s="179"/>
    </row>
    <row r="455" spans="1:6">
      <c r="A455" s="177">
        <v>648180000</v>
      </c>
      <c r="B455" s="177">
        <v>3269651</v>
      </c>
      <c r="C455" s="177">
        <v>390</v>
      </c>
      <c r="D455" s="179">
        <v>132</v>
      </c>
      <c r="E455" s="183"/>
      <c r="F455" s="179"/>
    </row>
    <row r="456" spans="1:6">
      <c r="A456" s="177">
        <v>386300000</v>
      </c>
      <c r="B456" s="177">
        <v>3269685</v>
      </c>
      <c r="C456" s="177">
        <v>311</v>
      </c>
      <c r="D456" s="179">
        <v>30</v>
      </c>
      <c r="E456" s="183"/>
      <c r="F456" s="179"/>
    </row>
    <row r="457" spans="1:6">
      <c r="A457" s="177">
        <v>648120000</v>
      </c>
      <c r="B457" s="177">
        <v>3269750</v>
      </c>
      <c r="C457" s="177">
        <v>311</v>
      </c>
      <c r="D457" s="179">
        <v>66</v>
      </c>
      <c r="E457" s="183"/>
      <c r="F457" s="179"/>
    </row>
    <row r="458" spans="1:6">
      <c r="A458" s="177">
        <v>648120100</v>
      </c>
      <c r="B458" s="177">
        <v>3269750</v>
      </c>
      <c r="C458" s="177">
        <v>401</v>
      </c>
      <c r="D458" s="179">
        <v>25</v>
      </c>
      <c r="E458" s="183"/>
      <c r="F458" s="179"/>
    </row>
    <row r="459" spans="1:6">
      <c r="A459" s="177">
        <v>400025500</v>
      </c>
      <c r="B459" s="177">
        <v>3276979</v>
      </c>
      <c r="C459" s="177">
        <v>662</v>
      </c>
      <c r="D459" s="179">
        <v>321</v>
      </c>
      <c r="E459" s="183"/>
      <c r="F459" s="179"/>
    </row>
    <row r="460" spans="1:6">
      <c r="A460" s="177">
        <v>517020000</v>
      </c>
      <c r="B460" s="177">
        <v>3287364</v>
      </c>
      <c r="C460" s="177">
        <v>311</v>
      </c>
      <c r="D460" s="179">
        <v>61</v>
      </c>
      <c r="E460" s="183"/>
      <c r="F460" s="179"/>
    </row>
    <row r="461" spans="1:6">
      <c r="A461" s="177">
        <v>678460000</v>
      </c>
      <c r="B461" s="177">
        <v>3287364</v>
      </c>
      <c r="C461" s="177">
        <v>401</v>
      </c>
      <c r="D461" s="179">
        <v>60</v>
      </c>
      <c r="E461" s="183"/>
      <c r="F461" s="179"/>
    </row>
    <row r="462" spans="1:6">
      <c r="A462" s="177">
        <v>831350000</v>
      </c>
      <c r="B462" s="177">
        <v>3295169</v>
      </c>
      <c r="C462" s="177">
        <v>312</v>
      </c>
      <c r="D462" s="179">
        <v>53</v>
      </c>
      <c r="E462" s="183"/>
      <c r="F462" s="179"/>
    </row>
    <row r="463" spans="1:6">
      <c r="A463" s="177">
        <v>450090100</v>
      </c>
      <c r="B463" s="177">
        <v>3296589</v>
      </c>
      <c r="C463" s="177">
        <v>401</v>
      </c>
      <c r="D463" s="179">
        <v>45</v>
      </c>
      <c r="E463" s="183"/>
      <c r="F463" s="179"/>
    </row>
    <row r="464" spans="1:6">
      <c r="A464" s="177">
        <v>170190000</v>
      </c>
      <c r="B464" s="177">
        <v>3296688</v>
      </c>
      <c r="C464" s="177">
        <v>401</v>
      </c>
      <c r="D464" s="179">
        <v>78</v>
      </c>
      <c r="E464" s="183"/>
      <c r="F464" s="179"/>
    </row>
    <row r="465" spans="1:6">
      <c r="A465" s="177">
        <v>186900000</v>
      </c>
      <c r="B465" s="177">
        <v>3310265</v>
      </c>
      <c r="C465" s="177">
        <v>311</v>
      </c>
      <c r="D465" s="179">
        <v>53</v>
      </c>
      <c r="E465" s="183"/>
      <c r="F465" s="179"/>
    </row>
    <row r="466" spans="1:6">
      <c r="A466" s="177">
        <v>441260000</v>
      </c>
      <c r="B466" s="177">
        <v>3312253</v>
      </c>
      <c r="C466" s="177">
        <v>311</v>
      </c>
      <c r="D466" s="179">
        <v>68</v>
      </c>
      <c r="E466" s="183"/>
      <c r="F466" s="179"/>
    </row>
    <row r="467" spans="1:6">
      <c r="A467" s="177">
        <v>59110100</v>
      </c>
      <c r="B467" s="177">
        <v>3326741</v>
      </c>
      <c r="C467" s="177">
        <v>807</v>
      </c>
      <c r="D467" s="179">
        <v>85</v>
      </c>
      <c r="E467" s="183"/>
      <c r="F467" s="179"/>
    </row>
    <row r="468" spans="1:6">
      <c r="A468" s="177">
        <v>605810000</v>
      </c>
      <c r="B468" s="177">
        <v>3326741</v>
      </c>
      <c r="C468" s="177">
        <v>807</v>
      </c>
      <c r="D468" s="179">
        <v>114</v>
      </c>
      <c r="E468" s="183"/>
      <c r="F468" s="179"/>
    </row>
    <row r="469" spans="1:6">
      <c r="A469" s="177">
        <v>332740000</v>
      </c>
      <c r="B469" s="177">
        <v>3327400</v>
      </c>
      <c r="C469" s="177">
        <v>311</v>
      </c>
      <c r="D469" s="179">
        <v>56</v>
      </c>
      <c r="E469" s="183"/>
      <c r="F469" s="179"/>
    </row>
    <row r="470" spans="1:6">
      <c r="A470" s="177">
        <v>89540200</v>
      </c>
      <c r="B470" s="177">
        <v>3328093</v>
      </c>
      <c r="C470" s="177">
        <v>401</v>
      </c>
      <c r="D470" s="179">
        <v>145</v>
      </c>
      <c r="E470" s="183"/>
      <c r="F470" s="179"/>
    </row>
    <row r="471" spans="1:6">
      <c r="A471" s="177">
        <v>333550000</v>
      </c>
      <c r="B471" s="177">
        <v>3335500</v>
      </c>
      <c r="C471" s="177">
        <v>401</v>
      </c>
      <c r="D471" s="179">
        <v>100</v>
      </c>
      <c r="E471" s="183"/>
      <c r="F471" s="179"/>
    </row>
    <row r="472" spans="1:6">
      <c r="A472" s="177">
        <v>334120000</v>
      </c>
      <c r="B472" s="177">
        <v>3341200</v>
      </c>
      <c r="C472" s="177">
        <v>315</v>
      </c>
      <c r="D472" s="179">
        <v>10</v>
      </c>
      <c r="E472" s="183"/>
      <c r="F472" s="179"/>
    </row>
    <row r="473" spans="1:6">
      <c r="A473" s="177">
        <v>230530800</v>
      </c>
      <c r="B473" s="177">
        <v>3341856</v>
      </c>
      <c r="C473" s="177">
        <v>311</v>
      </c>
      <c r="D473" s="179">
        <v>38</v>
      </c>
      <c r="E473" s="183"/>
      <c r="F473" s="179"/>
    </row>
    <row r="474" spans="1:6">
      <c r="A474" s="177">
        <v>487160000</v>
      </c>
      <c r="B474" s="177">
        <v>3379039</v>
      </c>
      <c r="C474" s="177">
        <v>401</v>
      </c>
      <c r="D474" s="179">
        <v>28</v>
      </c>
      <c r="E474" s="183"/>
      <c r="F474" s="179"/>
    </row>
    <row r="475" spans="1:6">
      <c r="A475" s="177">
        <v>338490000</v>
      </c>
      <c r="B475" s="177">
        <v>3384900</v>
      </c>
      <c r="C475" s="177">
        <v>507</v>
      </c>
      <c r="D475" s="179">
        <v>340</v>
      </c>
      <c r="E475" s="183"/>
      <c r="F475" s="179"/>
    </row>
    <row r="476" spans="1:6">
      <c r="A476" s="177">
        <v>517530000</v>
      </c>
      <c r="B476" s="177">
        <v>3435187</v>
      </c>
      <c r="C476" s="177">
        <v>311</v>
      </c>
      <c r="D476" s="179">
        <v>81</v>
      </c>
      <c r="E476" s="183"/>
      <c r="F476" s="179"/>
    </row>
    <row r="477" spans="1:6">
      <c r="A477" s="177">
        <v>343620000</v>
      </c>
      <c r="B477" s="177">
        <v>3436200</v>
      </c>
      <c r="C477" s="177">
        <v>311</v>
      </c>
      <c r="D477" s="179">
        <v>46</v>
      </c>
      <c r="E477" s="183"/>
      <c r="F477" s="179"/>
    </row>
    <row r="478" spans="1:6">
      <c r="A478" s="177">
        <v>350060000</v>
      </c>
      <c r="B478" s="177">
        <v>3500600</v>
      </c>
      <c r="C478" s="177">
        <v>416</v>
      </c>
      <c r="D478" s="179">
        <v>22</v>
      </c>
      <c r="E478" s="183"/>
      <c r="F478" s="179"/>
    </row>
    <row r="479" spans="1:6">
      <c r="A479" s="177">
        <v>358720000</v>
      </c>
      <c r="B479" s="177">
        <v>3587200</v>
      </c>
      <c r="C479" s="177">
        <v>311</v>
      </c>
      <c r="D479" s="179">
        <v>92</v>
      </c>
      <c r="E479" s="183"/>
      <c r="F479" s="179"/>
    </row>
    <row r="480" spans="1:6">
      <c r="A480" s="177">
        <v>115960200</v>
      </c>
      <c r="B480" s="177">
        <v>3615650</v>
      </c>
      <c r="C480" s="177">
        <v>311</v>
      </c>
      <c r="D480" s="179">
        <v>50</v>
      </c>
      <c r="E480" s="183"/>
      <c r="F480" s="179"/>
    </row>
    <row r="481" spans="1:6">
      <c r="A481" s="177">
        <v>363900000</v>
      </c>
      <c r="B481" s="177">
        <v>3639000</v>
      </c>
      <c r="C481" s="177">
        <v>321</v>
      </c>
      <c r="D481" s="179">
        <v>28</v>
      </c>
      <c r="E481" s="183"/>
      <c r="F481" s="179"/>
    </row>
    <row r="482" spans="1:6">
      <c r="A482" s="177">
        <v>365140000</v>
      </c>
      <c r="B482" s="177">
        <v>3651400</v>
      </c>
      <c r="C482" s="177">
        <v>507</v>
      </c>
      <c r="D482" s="179">
        <v>172</v>
      </c>
      <c r="E482" s="183"/>
      <c r="F482" s="179"/>
    </row>
    <row r="483" spans="1:6">
      <c r="A483" s="177">
        <v>365980000</v>
      </c>
      <c r="B483" s="177">
        <v>3659800</v>
      </c>
      <c r="C483" s="177">
        <v>311</v>
      </c>
      <c r="D483" s="179">
        <v>33</v>
      </c>
      <c r="E483" s="183"/>
      <c r="F483" s="179"/>
    </row>
    <row r="484" spans="1:6">
      <c r="A484" s="177">
        <v>369020000</v>
      </c>
      <c r="B484" s="177">
        <v>3690200</v>
      </c>
      <c r="C484" s="177">
        <v>507</v>
      </c>
      <c r="D484" s="179">
        <v>62</v>
      </c>
      <c r="E484" s="183"/>
      <c r="F484" s="179"/>
    </row>
    <row r="485" spans="1:6">
      <c r="A485" s="177">
        <v>137460600</v>
      </c>
      <c r="B485" s="177">
        <v>3709953</v>
      </c>
      <c r="C485" s="177">
        <v>311</v>
      </c>
      <c r="D485" s="179">
        <v>44</v>
      </c>
      <c r="E485" s="183"/>
      <c r="F485" s="179"/>
    </row>
    <row r="486" spans="1:6">
      <c r="A486" s="177">
        <v>3720000</v>
      </c>
      <c r="B486" s="177">
        <v>3720000</v>
      </c>
      <c r="C486" s="177">
        <v>507</v>
      </c>
      <c r="D486" s="179">
        <v>1000</v>
      </c>
      <c r="E486" s="183"/>
      <c r="F486" s="179"/>
    </row>
    <row r="487" spans="1:6">
      <c r="A487" s="177">
        <v>153120000</v>
      </c>
      <c r="B487" s="177">
        <v>3733466</v>
      </c>
      <c r="C487" s="177">
        <v>803</v>
      </c>
      <c r="D487" s="179">
        <v>46</v>
      </c>
      <c r="E487" s="183"/>
      <c r="F487" s="179"/>
    </row>
    <row r="488" spans="1:6">
      <c r="A488" s="177">
        <v>811750100</v>
      </c>
      <c r="B488" s="177">
        <v>3741337</v>
      </c>
      <c r="C488" s="177">
        <v>810</v>
      </c>
      <c r="D488" s="179">
        <v>75</v>
      </c>
      <c r="E488" s="183"/>
      <c r="F488" s="179"/>
    </row>
    <row r="489" spans="1:6">
      <c r="A489" s="177">
        <v>813530000</v>
      </c>
      <c r="B489" s="177">
        <v>3741337</v>
      </c>
      <c r="C489" s="177">
        <v>311</v>
      </c>
      <c r="D489" s="179">
        <v>65</v>
      </c>
      <c r="E489" s="183"/>
      <c r="F489" s="179"/>
    </row>
    <row r="490" spans="1:6">
      <c r="A490" s="177">
        <v>378060000</v>
      </c>
      <c r="B490" s="177">
        <v>3780600</v>
      </c>
      <c r="C490" s="177">
        <v>311</v>
      </c>
      <c r="D490" s="179">
        <v>29</v>
      </c>
      <c r="E490" s="183"/>
      <c r="F490" s="179"/>
    </row>
    <row r="491" spans="1:6">
      <c r="A491" s="177">
        <v>384830000</v>
      </c>
      <c r="B491" s="177">
        <v>3848300</v>
      </c>
      <c r="C491" s="177">
        <v>522</v>
      </c>
      <c r="D491" s="179">
        <v>584</v>
      </c>
      <c r="E491" s="183"/>
      <c r="F491" s="179"/>
    </row>
    <row r="492" spans="1:6">
      <c r="A492" s="177">
        <v>701650000</v>
      </c>
      <c r="B492" s="177">
        <v>3861200</v>
      </c>
      <c r="C492" s="177">
        <v>313</v>
      </c>
      <c r="D492" s="179">
        <v>255</v>
      </c>
      <c r="E492" s="183"/>
      <c r="F492" s="179"/>
    </row>
    <row r="493" spans="1:6">
      <c r="A493" s="177">
        <v>386800000</v>
      </c>
      <c r="B493" s="177">
        <v>3868000</v>
      </c>
      <c r="C493" s="177">
        <v>321</v>
      </c>
      <c r="D493" s="179">
        <v>50</v>
      </c>
      <c r="E493" s="183"/>
      <c r="F493" s="179"/>
    </row>
    <row r="494" spans="1:6">
      <c r="A494" s="177">
        <v>392070000</v>
      </c>
      <c r="B494" s="177">
        <v>3920700</v>
      </c>
      <c r="C494" s="177">
        <v>882</v>
      </c>
      <c r="D494" s="179">
        <v>3914</v>
      </c>
      <c r="E494" s="183"/>
      <c r="F494" s="179"/>
    </row>
    <row r="495" spans="1:6">
      <c r="A495" s="177">
        <v>392310000</v>
      </c>
      <c r="B495" s="177">
        <v>3923100</v>
      </c>
      <c r="C495" s="177">
        <v>311</v>
      </c>
      <c r="D495" s="179">
        <v>49</v>
      </c>
      <c r="E495" s="183"/>
      <c r="F495" s="179"/>
    </row>
    <row r="496" spans="1:6">
      <c r="A496" s="177">
        <v>62820100</v>
      </c>
      <c r="B496" s="177">
        <v>3928751</v>
      </c>
      <c r="C496" s="177">
        <v>507</v>
      </c>
      <c r="D496" s="179">
        <v>200</v>
      </c>
      <c r="E496" s="183"/>
      <c r="F496" s="179"/>
    </row>
    <row r="497" spans="1:6">
      <c r="A497" s="177">
        <v>394070000</v>
      </c>
      <c r="B497" s="177">
        <v>3940700</v>
      </c>
      <c r="C497" s="177">
        <v>401</v>
      </c>
      <c r="D497" s="179">
        <v>11</v>
      </c>
      <c r="E497" s="183"/>
      <c r="F497" s="179"/>
    </row>
    <row r="498" spans="1:6">
      <c r="A498" s="177">
        <v>394160000</v>
      </c>
      <c r="B498" s="177">
        <v>3941600</v>
      </c>
      <c r="C498" s="177">
        <v>401</v>
      </c>
      <c r="D498" s="179">
        <v>163</v>
      </c>
      <c r="E498" s="183"/>
      <c r="F498" s="179"/>
    </row>
    <row r="499" spans="1:6">
      <c r="A499" s="177">
        <v>398410000</v>
      </c>
      <c r="B499" s="177">
        <v>3984100</v>
      </c>
      <c r="C499" s="177">
        <v>311</v>
      </c>
      <c r="D499" s="179">
        <v>60</v>
      </c>
      <c r="E499" s="183"/>
      <c r="F499" s="179"/>
    </row>
    <row r="500" spans="1:6">
      <c r="A500" s="177">
        <v>398810000</v>
      </c>
      <c r="B500" s="177">
        <v>3988100</v>
      </c>
      <c r="C500" s="177">
        <v>401</v>
      </c>
      <c r="D500" s="179">
        <v>24</v>
      </c>
      <c r="E500" s="183"/>
      <c r="F500" s="179"/>
    </row>
    <row r="501" spans="1:6">
      <c r="A501" s="177">
        <v>400001000</v>
      </c>
      <c r="B501" s="177">
        <v>4000010</v>
      </c>
      <c r="C501" s="177">
        <v>662</v>
      </c>
      <c r="D501" s="179">
        <v>31</v>
      </c>
      <c r="E501" s="183"/>
      <c r="F501" s="179"/>
    </row>
    <row r="502" spans="1:6">
      <c r="A502" s="177">
        <v>400001400</v>
      </c>
      <c r="B502" s="177">
        <v>4000014</v>
      </c>
      <c r="C502" s="177">
        <v>662</v>
      </c>
      <c r="D502" s="179">
        <v>524</v>
      </c>
      <c r="E502" s="183"/>
      <c r="F502" s="179"/>
    </row>
    <row r="503" spans="1:6">
      <c r="A503" s="177">
        <v>400002000</v>
      </c>
      <c r="B503" s="177">
        <v>4000020</v>
      </c>
      <c r="C503" s="177">
        <v>662</v>
      </c>
      <c r="D503" s="179">
        <v>512</v>
      </c>
      <c r="E503" s="183"/>
      <c r="F503" s="179"/>
    </row>
    <row r="504" spans="1:6">
      <c r="A504" s="177">
        <v>400000910</v>
      </c>
      <c r="B504" s="177">
        <v>4000031</v>
      </c>
      <c r="C504" s="177">
        <v>602</v>
      </c>
      <c r="D504" s="179">
        <v>19000</v>
      </c>
      <c r="E504" s="183"/>
      <c r="F504" s="179"/>
    </row>
    <row r="505" spans="1:6">
      <c r="A505" s="177">
        <v>400007600</v>
      </c>
      <c r="B505" s="177">
        <v>4000076</v>
      </c>
      <c r="C505" s="177">
        <v>315</v>
      </c>
      <c r="D505" s="179">
        <v>10141</v>
      </c>
      <c r="E505" s="183"/>
      <c r="F505" s="179"/>
    </row>
    <row r="506" spans="1:6">
      <c r="A506" s="177">
        <v>400010700</v>
      </c>
      <c r="B506" s="177">
        <v>4000107</v>
      </c>
      <c r="C506" s="177">
        <v>661</v>
      </c>
      <c r="D506" s="179">
        <v>618</v>
      </c>
      <c r="E506" s="183"/>
      <c r="F506" s="179"/>
    </row>
    <row r="507" spans="1:6">
      <c r="A507" s="177">
        <v>400021300</v>
      </c>
      <c r="B507" s="177">
        <v>4000213</v>
      </c>
      <c r="C507" s="177">
        <v>661</v>
      </c>
      <c r="D507" s="179">
        <v>199</v>
      </c>
      <c r="E507" s="183"/>
      <c r="F507" s="179"/>
    </row>
    <row r="508" spans="1:6">
      <c r="A508" s="177">
        <v>400021400</v>
      </c>
      <c r="B508" s="177">
        <v>4000214</v>
      </c>
      <c r="C508" s="177">
        <v>661</v>
      </c>
      <c r="D508" s="179">
        <v>1000</v>
      </c>
      <c r="E508" s="183"/>
      <c r="F508" s="179"/>
    </row>
  </sheetData>
  <mergeCells count="2">
    <mergeCell ref="A1:B1"/>
    <mergeCell ref="C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rightToLeft="1" workbookViewId="0">
      <pane ySplit="9" topLeftCell="A10" activePane="bottomLeft" state="frozen"/>
      <selection pane="bottomLeft" activeCell="A10" sqref="A10"/>
    </sheetView>
  </sheetViews>
  <sheetFormatPr defaultRowHeight="14.25"/>
  <cols>
    <col min="1" max="2" width="14" style="177" bestFit="1" customWidth="1"/>
    <col min="3" max="3" width="7.140625" style="177" bestFit="1" customWidth="1"/>
    <col min="4" max="4" width="8" style="179" bestFit="1" customWidth="1"/>
    <col min="5" max="5" width="10.140625" style="179" bestFit="1" customWidth="1"/>
    <col min="6" max="16384" width="9.140625" style="177"/>
  </cols>
  <sheetData>
    <row r="1" spans="1:6" ht="15">
      <c r="A1" s="271" t="s">
        <v>177</v>
      </c>
      <c r="B1" s="271"/>
      <c r="C1" s="272" t="s">
        <v>180</v>
      </c>
    </row>
    <row r="2" spans="1:6" ht="15">
      <c r="A2" s="180" t="s">
        <v>178</v>
      </c>
      <c r="B2" s="180" t="s">
        <v>179</v>
      </c>
      <c r="C2" s="272"/>
    </row>
    <row r="3" spans="1:6">
      <c r="A3" s="181">
        <v>0</v>
      </c>
      <c r="B3" s="181">
        <v>100</v>
      </c>
      <c r="C3" s="182">
        <v>0.8</v>
      </c>
    </row>
    <row r="4" spans="1:6">
      <c r="A4" s="181">
        <f>B3</f>
        <v>100</v>
      </c>
      <c r="B4" s="181">
        <v>500</v>
      </c>
      <c r="C4" s="182">
        <v>1</v>
      </c>
    </row>
    <row r="5" spans="1:6">
      <c r="A5" s="181">
        <f t="shared" ref="A5:A7" si="0">B4</f>
        <v>500</v>
      </c>
      <c r="B5" s="181">
        <v>1000</v>
      </c>
      <c r="C5" s="182">
        <v>1.2</v>
      </c>
    </row>
    <row r="6" spans="1:6">
      <c r="A6" s="181">
        <f t="shared" si="0"/>
        <v>1000</v>
      </c>
      <c r="B6" s="181">
        <v>5000</v>
      </c>
      <c r="C6" s="182">
        <v>0.8</v>
      </c>
    </row>
    <row r="7" spans="1:6">
      <c r="A7" s="181">
        <f t="shared" si="0"/>
        <v>5000</v>
      </c>
      <c r="B7" s="181">
        <v>10000</v>
      </c>
      <c r="C7" s="182">
        <v>0.6</v>
      </c>
    </row>
    <row r="9" spans="1:6" s="178" customFormat="1" ht="43.5" customHeight="1">
      <c r="A9" s="178" t="s">
        <v>174</v>
      </c>
      <c r="B9" s="178" t="s">
        <v>175</v>
      </c>
      <c r="C9" s="178" t="s">
        <v>176</v>
      </c>
      <c r="D9" s="178" t="s">
        <v>177</v>
      </c>
      <c r="E9" s="178" t="s">
        <v>181</v>
      </c>
      <c r="F9" s="178" t="s">
        <v>182</v>
      </c>
    </row>
    <row r="10" spans="1:6">
      <c r="A10" s="177">
        <v>48280200</v>
      </c>
      <c r="B10" s="177">
        <v>9</v>
      </c>
      <c r="C10" s="177">
        <v>390</v>
      </c>
      <c r="D10" s="179">
        <v>10974</v>
      </c>
      <c r="E10" s="183">
        <f>VLOOKUP(D10,$A$3:$C$7,3,TRUE)</f>
        <v>0.6</v>
      </c>
      <c r="F10" s="179">
        <f>VLOOKUP(D10,$A$3:$C$7,3,TRUE)*D10</f>
        <v>6584.4</v>
      </c>
    </row>
    <row r="11" spans="1:6">
      <c r="A11" s="177">
        <v>88720000</v>
      </c>
      <c r="B11" s="177">
        <v>9</v>
      </c>
      <c r="C11" s="177">
        <v>409</v>
      </c>
      <c r="D11" s="179">
        <v>3736</v>
      </c>
      <c r="E11" s="183">
        <f t="shared" ref="E11:E74" si="1">VLOOKUP(D11,$A$3:$C$7,3,TRUE)</f>
        <v>0.8</v>
      </c>
      <c r="F11" s="179">
        <f t="shared" ref="F11:F74" si="2">VLOOKUP(D11,$A$3:$C$7,3,TRUE)*D11</f>
        <v>2988.8</v>
      </c>
    </row>
    <row r="12" spans="1:6">
      <c r="A12" s="177">
        <v>152010000</v>
      </c>
      <c r="B12" s="177">
        <v>6120</v>
      </c>
      <c r="C12" s="177">
        <v>311</v>
      </c>
      <c r="D12" s="179">
        <v>40</v>
      </c>
      <c r="E12" s="183">
        <f t="shared" si="1"/>
        <v>0.8</v>
      </c>
      <c r="F12" s="179">
        <f t="shared" si="2"/>
        <v>32</v>
      </c>
    </row>
    <row r="13" spans="1:6">
      <c r="A13" s="177">
        <v>470790100</v>
      </c>
      <c r="B13" s="177">
        <v>6120</v>
      </c>
      <c r="C13" s="177">
        <v>311</v>
      </c>
      <c r="D13" s="179">
        <v>32</v>
      </c>
      <c r="E13" s="183">
        <f t="shared" si="1"/>
        <v>0.8</v>
      </c>
      <c r="F13" s="179">
        <f t="shared" si="2"/>
        <v>25.6</v>
      </c>
    </row>
    <row r="14" spans="1:6">
      <c r="A14" s="177">
        <v>18580100</v>
      </c>
      <c r="B14" s="177">
        <v>22799</v>
      </c>
      <c r="C14" s="177">
        <v>311</v>
      </c>
      <c r="D14" s="179">
        <v>300</v>
      </c>
      <c r="E14" s="183">
        <f t="shared" si="1"/>
        <v>1</v>
      </c>
      <c r="F14" s="179">
        <f t="shared" si="2"/>
        <v>300</v>
      </c>
    </row>
    <row r="15" spans="1:6">
      <c r="A15" s="177">
        <v>783880000</v>
      </c>
      <c r="B15" s="177">
        <v>22799</v>
      </c>
      <c r="C15" s="177">
        <v>321</v>
      </c>
      <c r="D15" s="179">
        <v>82</v>
      </c>
      <c r="E15" s="183">
        <f t="shared" si="1"/>
        <v>0.8</v>
      </c>
      <c r="F15" s="179">
        <f t="shared" si="2"/>
        <v>65.600000000000009</v>
      </c>
    </row>
    <row r="16" spans="1:6">
      <c r="A16" s="177">
        <v>783890000</v>
      </c>
      <c r="B16" s="177">
        <v>22799</v>
      </c>
      <c r="C16" s="177">
        <v>321</v>
      </c>
      <c r="D16" s="179">
        <v>604</v>
      </c>
      <c r="E16" s="183">
        <f t="shared" si="1"/>
        <v>1.2</v>
      </c>
      <c r="F16" s="179">
        <f t="shared" si="2"/>
        <v>724.8</v>
      </c>
    </row>
    <row r="17" spans="1:6">
      <c r="A17" s="177">
        <v>981380000</v>
      </c>
      <c r="B17" s="177">
        <v>22799</v>
      </c>
      <c r="C17" s="177">
        <v>311</v>
      </c>
      <c r="D17" s="179">
        <v>4333</v>
      </c>
      <c r="E17" s="183">
        <f t="shared" si="1"/>
        <v>0.8</v>
      </c>
      <c r="F17" s="179">
        <f t="shared" si="2"/>
        <v>3466.4</v>
      </c>
    </row>
    <row r="18" spans="1:6">
      <c r="A18" s="177">
        <v>1073740000</v>
      </c>
      <c r="B18" s="177">
        <v>22799</v>
      </c>
      <c r="C18" s="177">
        <v>805</v>
      </c>
      <c r="D18" s="179">
        <v>930</v>
      </c>
      <c r="E18" s="183">
        <f t="shared" si="1"/>
        <v>1.2</v>
      </c>
      <c r="F18" s="179">
        <f t="shared" si="2"/>
        <v>1116</v>
      </c>
    </row>
    <row r="19" spans="1:6">
      <c r="A19" s="177">
        <v>2280000</v>
      </c>
      <c r="B19" s="177">
        <v>22800</v>
      </c>
      <c r="C19" s="177">
        <v>311</v>
      </c>
      <c r="D19" s="179">
        <v>1136</v>
      </c>
      <c r="E19" s="183">
        <f t="shared" si="1"/>
        <v>0.8</v>
      </c>
      <c r="F19" s="179">
        <f t="shared" si="2"/>
        <v>908.80000000000007</v>
      </c>
    </row>
    <row r="20" spans="1:6">
      <c r="A20" s="177">
        <v>4270000</v>
      </c>
      <c r="B20" s="177">
        <v>42700</v>
      </c>
      <c r="C20" s="177">
        <v>311</v>
      </c>
      <c r="D20" s="179">
        <v>111</v>
      </c>
      <c r="E20" s="183">
        <f t="shared" si="1"/>
        <v>1</v>
      </c>
      <c r="F20" s="179">
        <f t="shared" si="2"/>
        <v>111</v>
      </c>
    </row>
    <row r="21" spans="1:6">
      <c r="A21" s="177">
        <v>4270100</v>
      </c>
      <c r="B21" s="177">
        <v>42701</v>
      </c>
      <c r="C21" s="177">
        <v>311</v>
      </c>
      <c r="D21" s="179">
        <v>124</v>
      </c>
      <c r="E21" s="183">
        <f t="shared" si="1"/>
        <v>1</v>
      </c>
      <c r="F21" s="179">
        <f t="shared" si="2"/>
        <v>124</v>
      </c>
    </row>
    <row r="22" spans="1:6">
      <c r="A22" s="177">
        <v>4460000</v>
      </c>
      <c r="B22" s="177">
        <v>44600</v>
      </c>
      <c r="C22" s="177">
        <v>311</v>
      </c>
      <c r="D22" s="179">
        <v>25</v>
      </c>
      <c r="E22" s="183">
        <f t="shared" si="1"/>
        <v>0.8</v>
      </c>
      <c r="F22" s="179">
        <f t="shared" si="2"/>
        <v>20</v>
      </c>
    </row>
    <row r="23" spans="1:6">
      <c r="A23" s="177">
        <v>6280100</v>
      </c>
      <c r="B23" s="177">
        <v>62800</v>
      </c>
      <c r="C23" s="177">
        <v>311</v>
      </c>
      <c r="D23" s="179">
        <v>10</v>
      </c>
      <c r="E23" s="183">
        <f t="shared" si="1"/>
        <v>0.8</v>
      </c>
      <c r="F23" s="179">
        <f t="shared" si="2"/>
        <v>8</v>
      </c>
    </row>
    <row r="24" spans="1:6">
      <c r="A24" s="177">
        <v>198520500</v>
      </c>
      <c r="B24" s="177">
        <v>74005</v>
      </c>
      <c r="C24" s="177">
        <v>507</v>
      </c>
      <c r="D24" s="179">
        <v>24</v>
      </c>
      <c r="E24" s="183">
        <f t="shared" si="1"/>
        <v>0.8</v>
      </c>
      <c r="F24" s="179">
        <f t="shared" si="2"/>
        <v>19.200000000000003</v>
      </c>
    </row>
    <row r="25" spans="1:6">
      <c r="A25" s="177">
        <v>674920200</v>
      </c>
      <c r="B25" s="177">
        <v>74005</v>
      </c>
      <c r="C25" s="177">
        <v>315</v>
      </c>
      <c r="D25" s="179">
        <v>788</v>
      </c>
      <c r="E25" s="183">
        <f t="shared" si="1"/>
        <v>1.2</v>
      </c>
      <c r="F25" s="179">
        <f t="shared" si="2"/>
        <v>945.59999999999991</v>
      </c>
    </row>
    <row r="26" spans="1:6">
      <c r="A26" s="177">
        <v>715050000</v>
      </c>
      <c r="B26" s="177">
        <v>74005</v>
      </c>
      <c r="C26" s="177">
        <v>315</v>
      </c>
      <c r="D26" s="179">
        <v>1140</v>
      </c>
      <c r="E26" s="183">
        <f t="shared" si="1"/>
        <v>0.8</v>
      </c>
      <c r="F26" s="179">
        <f t="shared" si="2"/>
        <v>912</v>
      </c>
    </row>
    <row r="27" spans="1:6">
      <c r="A27" s="177">
        <v>1093900000</v>
      </c>
      <c r="B27" s="177">
        <v>96528</v>
      </c>
      <c r="C27" s="177">
        <v>311</v>
      </c>
      <c r="D27" s="179">
        <v>1713</v>
      </c>
      <c r="E27" s="183">
        <f t="shared" si="1"/>
        <v>0.8</v>
      </c>
      <c r="F27" s="179">
        <f t="shared" si="2"/>
        <v>1370.4</v>
      </c>
    </row>
    <row r="28" spans="1:6">
      <c r="A28" s="177">
        <v>157700100</v>
      </c>
      <c r="B28" s="177">
        <v>96767</v>
      </c>
      <c r="C28" s="177">
        <v>401</v>
      </c>
      <c r="D28" s="179">
        <v>20</v>
      </c>
      <c r="E28" s="183">
        <f t="shared" si="1"/>
        <v>0.8</v>
      </c>
      <c r="F28" s="179">
        <f t="shared" si="2"/>
        <v>16</v>
      </c>
    </row>
    <row r="29" spans="1:6">
      <c r="A29" s="177">
        <v>10030100</v>
      </c>
      <c r="B29" s="177">
        <v>100301</v>
      </c>
      <c r="C29" s="177">
        <v>311</v>
      </c>
      <c r="D29" s="179">
        <v>35</v>
      </c>
      <c r="E29" s="183">
        <f t="shared" si="1"/>
        <v>0.8</v>
      </c>
      <c r="F29" s="179">
        <f t="shared" si="2"/>
        <v>28</v>
      </c>
    </row>
    <row r="30" spans="1:6">
      <c r="A30" s="177">
        <v>10550000</v>
      </c>
      <c r="B30" s="177">
        <v>105500</v>
      </c>
      <c r="C30" s="177">
        <v>508</v>
      </c>
      <c r="D30" s="179">
        <v>170</v>
      </c>
      <c r="E30" s="183">
        <f t="shared" si="1"/>
        <v>1</v>
      </c>
      <c r="F30" s="179">
        <f t="shared" si="2"/>
        <v>170</v>
      </c>
    </row>
    <row r="31" spans="1:6">
      <c r="A31" s="177">
        <v>11740200</v>
      </c>
      <c r="B31" s="177">
        <v>117402</v>
      </c>
      <c r="C31" s="177">
        <v>401</v>
      </c>
      <c r="D31" s="179">
        <v>235</v>
      </c>
      <c r="E31" s="183">
        <f t="shared" si="1"/>
        <v>1</v>
      </c>
      <c r="F31" s="179">
        <f t="shared" si="2"/>
        <v>235</v>
      </c>
    </row>
    <row r="32" spans="1:6">
      <c r="A32" s="177">
        <v>308370000</v>
      </c>
      <c r="B32" s="177">
        <v>155816</v>
      </c>
      <c r="C32" s="177">
        <v>401</v>
      </c>
      <c r="D32" s="179">
        <v>104</v>
      </c>
      <c r="E32" s="183">
        <f t="shared" si="1"/>
        <v>1</v>
      </c>
      <c r="F32" s="179">
        <f t="shared" si="2"/>
        <v>104</v>
      </c>
    </row>
    <row r="33" spans="1:6">
      <c r="A33" s="177">
        <v>18850000</v>
      </c>
      <c r="B33" s="177">
        <v>188500</v>
      </c>
      <c r="C33" s="177">
        <v>311</v>
      </c>
      <c r="D33" s="179">
        <v>49</v>
      </c>
      <c r="E33" s="183">
        <f t="shared" si="1"/>
        <v>0.8</v>
      </c>
      <c r="F33" s="179">
        <f t="shared" si="2"/>
        <v>39.200000000000003</v>
      </c>
    </row>
    <row r="34" spans="1:6">
      <c r="A34" s="177">
        <v>26960000</v>
      </c>
      <c r="B34" s="177">
        <v>269600</v>
      </c>
      <c r="C34" s="177">
        <v>321</v>
      </c>
      <c r="D34" s="179">
        <v>24</v>
      </c>
      <c r="E34" s="183">
        <f t="shared" si="1"/>
        <v>0.8</v>
      </c>
      <c r="F34" s="179">
        <f t="shared" si="2"/>
        <v>19.200000000000003</v>
      </c>
    </row>
    <row r="35" spans="1:6">
      <c r="A35" s="177">
        <v>40010000</v>
      </c>
      <c r="B35" s="177">
        <v>274381</v>
      </c>
      <c r="C35" s="177">
        <v>321</v>
      </c>
      <c r="D35" s="179">
        <v>28</v>
      </c>
      <c r="E35" s="183">
        <f t="shared" si="1"/>
        <v>0.8</v>
      </c>
      <c r="F35" s="179">
        <f t="shared" si="2"/>
        <v>22.400000000000002</v>
      </c>
    </row>
    <row r="36" spans="1:6">
      <c r="A36" s="177">
        <v>40030000</v>
      </c>
      <c r="B36" s="177">
        <v>274381</v>
      </c>
      <c r="C36" s="177">
        <v>321</v>
      </c>
      <c r="D36" s="179">
        <v>30</v>
      </c>
      <c r="E36" s="183">
        <f t="shared" si="1"/>
        <v>0.8</v>
      </c>
      <c r="F36" s="179">
        <f t="shared" si="2"/>
        <v>24</v>
      </c>
    </row>
    <row r="37" spans="1:6">
      <c r="A37" s="177">
        <v>27540100</v>
      </c>
      <c r="B37" s="177">
        <v>275401</v>
      </c>
      <c r="C37" s="177">
        <v>507</v>
      </c>
      <c r="D37" s="179">
        <v>38</v>
      </c>
      <c r="E37" s="183">
        <f t="shared" si="1"/>
        <v>0.8</v>
      </c>
      <c r="F37" s="179">
        <f t="shared" si="2"/>
        <v>30.400000000000002</v>
      </c>
    </row>
    <row r="38" spans="1:6">
      <c r="A38" s="177">
        <v>28710000</v>
      </c>
      <c r="B38" s="177">
        <v>287100</v>
      </c>
      <c r="C38" s="177">
        <v>512</v>
      </c>
      <c r="D38" s="179">
        <v>23000</v>
      </c>
      <c r="E38" s="183">
        <f t="shared" si="1"/>
        <v>0.6</v>
      </c>
      <c r="F38" s="179">
        <f t="shared" si="2"/>
        <v>13800</v>
      </c>
    </row>
    <row r="39" spans="1:6">
      <c r="A39" s="177">
        <v>724520000</v>
      </c>
      <c r="B39" s="177">
        <v>288852</v>
      </c>
      <c r="C39" s="177">
        <v>321</v>
      </c>
      <c r="D39" s="179">
        <v>24</v>
      </c>
      <c r="E39" s="183">
        <f t="shared" si="1"/>
        <v>0.8</v>
      </c>
      <c r="F39" s="179">
        <f t="shared" si="2"/>
        <v>19.200000000000003</v>
      </c>
    </row>
    <row r="40" spans="1:6">
      <c r="A40" s="177">
        <v>29650100</v>
      </c>
      <c r="B40" s="177">
        <v>296501</v>
      </c>
      <c r="C40" s="177">
        <v>416</v>
      </c>
      <c r="D40" s="179">
        <v>20</v>
      </c>
      <c r="E40" s="183">
        <f t="shared" si="1"/>
        <v>0.8</v>
      </c>
      <c r="F40" s="179">
        <f t="shared" si="2"/>
        <v>16</v>
      </c>
    </row>
    <row r="41" spans="1:6">
      <c r="A41" s="177">
        <v>802750000</v>
      </c>
      <c r="B41" s="177">
        <v>308940</v>
      </c>
      <c r="C41" s="177">
        <v>820</v>
      </c>
      <c r="D41" s="179">
        <v>14</v>
      </c>
      <c r="E41" s="183">
        <f t="shared" si="1"/>
        <v>0.8</v>
      </c>
      <c r="F41" s="179">
        <f t="shared" si="2"/>
        <v>11.200000000000001</v>
      </c>
    </row>
    <row r="42" spans="1:6">
      <c r="A42" s="177">
        <v>816030000</v>
      </c>
      <c r="B42" s="177">
        <v>334268</v>
      </c>
      <c r="C42" s="177">
        <v>311</v>
      </c>
      <c r="D42" s="179">
        <v>167</v>
      </c>
      <c r="E42" s="183">
        <f t="shared" si="1"/>
        <v>1</v>
      </c>
      <c r="F42" s="179">
        <f t="shared" si="2"/>
        <v>167</v>
      </c>
    </row>
    <row r="43" spans="1:6">
      <c r="A43" s="177">
        <v>816030100</v>
      </c>
      <c r="B43" s="177">
        <v>334268</v>
      </c>
      <c r="C43" s="177">
        <v>810</v>
      </c>
      <c r="D43" s="179">
        <v>53</v>
      </c>
      <c r="E43" s="183">
        <f t="shared" si="1"/>
        <v>0.8</v>
      </c>
      <c r="F43" s="179">
        <f t="shared" si="2"/>
        <v>42.400000000000006</v>
      </c>
    </row>
    <row r="44" spans="1:6">
      <c r="A44" s="177">
        <v>230714100</v>
      </c>
      <c r="B44" s="177">
        <v>347758</v>
      </c>
      <c r="C44" s="177">
        <v>311</v>
      </c>
      <c r="D44" s="179">
        <v>30</v>
      </c>
      <c r="E44" s="183">
        <f t="shared" si="1"/>
        <v>0.8</v>
      </c>
      <c r="F44" s="179">
        <f t="shared" si="2"/>
        <v>24</v>
      </c>
    </row>
    <row r="45" spans="1:6">
      <c r="A45" s="177">
        <v>1044320000</v>
      </c>
      <c r="B45" s="177">
        <v>348847</v>
      </c>
      <c r="C45" s="177">
        <v>661</v>
      </c>
      <c r="D45" s="179">
        <v>250</v>
      </c>
      <c r="E45" s="183">
        <f t="shared" si="1"/>
        <v>1</v>
      </c>
      <c r="F45" s="179">
        <f t="shared" si="2"/>
        <v>250</v>
      </c>
    </row>
    <row r="46" spans="1:6">
      <c r="A46" s="177">
        <v>35900000</v>
      </c>
      <c r="B46" s="177">
        <v>359100</v>
      </c>
      <c r="C46" s="177">
        <v>321</v>
      </c>
      <c r="D46" s="179">
        <v>50</v>
      </c>
      <c r="E46" s="183">
        <f t="shared" si="1"/>
        <v>0.8</v>
      </c>
      <c r="F46" s="179">
        <f t="shared" si="2"/>
        <v>40</v>
      </c>
    </row>
    <row r="47" spans="1:6">
      <c r="A47" s="177">
        <v>36800000</v>
      </c>
      <c r="B47" s="177">
        <v>368000</v>
      </c>
      <c r="C47" s="177">
        <v>507</v>
      </c>
      <c r="D47" s="179">
        <v>118</v>
      </c>
      <c r="E47" s="183">
        <f t="shared" si="1"/>
        <v>1</v>
      </c>
      <c r="F47" s="179">
        <f t="shared" si="2"/>
        <v>118</v>
      </c>
    </row>
    <row r="48" spans="1:6">
      <c r="A48" s="177">
        <v>36810000</v>
      </c>
      <c r="B48" s="177">
        <v>368100</v>
      </c>
      <c r="C48" s="177">
        <v>507</v>
      </c>
      <c r="D48" s="179">
        <v>36</v>
      </c>
      <c r="E48" s="183">
        <f t="shared" si="1"/>
        <v>0.8</v>
      </c>
      <c r="F48" s="179">
        <f t="shared" si="2"/>
        <v>28.8</v>
      </c>
    </row>
    <row r="49" spans="1:6">
      <c r="A49" s="177">
        <v>36840000</v>
      </c>
      <c r="B49" s="177">
        <v>368400</v>
      </c>
      <c r="C49" s="177">
        <v>507</v>
      </c>
      <c r="D49" s="179">
        <v>38</v>
      </c>
      <c r="E49" s="183">
        <f t="shared" si="1"/>
        <v>0.8</v>
      </c>
      <c r="F49" s="179">
        <f t="shared" si="2"/>
        <v>30.400000000000002</v>
      </c>
    </row>
    <row r="50" spans="1:6">
      <c r="A50" s="177">
        <v>39230000</v>
      </c>
      <c r="B50" s="177">
        <v>392300</v>
      </c>
      <c r="C50" s="177">
        <v>507</v>
      </c>
      <c r="D50" s="179">
        <v>121</v>
      </c>
      <c r="E50" s="183">
        <f t="shared" si="1"/>
        <v>1</v>
      </c>
      <c r="F50" s="179">
        <f t="shared" si="2"/>
        <v>121</v>
      </c>
    </row>
    <row r="51" spans="1:6">
      <c r="A51" s="177">
        <v>621730000</v>
      </c>
      <c r="B51" s="177">
        <v>413484</v>
      </c>
      <c r="C51" s="177">
        <v>520</v>
      </c>
      <c r="D51" s="179">
        <v>88</v>
      </c>
      <c r="E51" s="183">
        <f t="shared" si="1"/>
        <v>0.8</v>
      </c>
      <c r="F51" s="179">
        <f t="shared" si="2"/>
        <v>70.400000000000006</v>
      </c>
    </row>
    <row r="52" spans="1:6">
      <c r="A52" s="177">
        <v>42050000</v>
      </c>
      <c r="B52" s="177">
        <v>420500</v>
      </c>
      <c r="C52" s="177">
        <v>507</v>
      </c>
      <c r="D52" s="179">
        <v>98</v>
      </c>
      <c r="E52" s="183">
        <f t="shared" si="1"/>
        <v>0.8</v>
      </c>
      <c r="F52" s="179">
        <f t="shared" si="2"/>
        <v>78.400000000000006</v>
      </c>
    </row>
    <row r="53" spans="1:6">
      <c r="A53" s="177">
        <v>45230000</v>
      </c>
      <c r="B53" s="177">
        <v>452300</v>
      </c>
      <c r="C53" s="177">
        <v>321</v>
      </c>
      <c r="D53" s="179">
        <v>44</v>
      </c>
      <c r="E53" s="183">
        <f t="shared" si="1"/>
        <v>0.8</v>
      </c>
      <c r="F53" s="179">
        <f t="shared" si="2"/>
        <v>35.200000000000003</v>
      </c>
    </row>
    <row r="54" spans="1:6">
      <c r="A54" s="177">
        <v>48280000</v>
      </c>
      <c r="B54" s="177">
        <v>482800</v>
      </c>
      <c r="C54" s="177">
        <v>401</v>
      </c>
      <c r="D54" s="179">
        <v>8989</v>
      </c>
      <c r="E54" s="183">
        <f t="shared" si="1"/>
        <v>0.6</v>
      </c>
      <c r="F54" s="179">
        <f t="shared" si="2"/>
        <v>5393.4</v>
      </c>
    </row>
    <row r="55" spans="1:6">
      <c r="A55" s="177">
        <v>48280700</v>
      </c>
      <c r="B55" s="177">
        <v>482800</v>
      </c>
      <c r="C55" s="177">
        <v>414</v>
      </c>
      <c r="D55" s="179">
        <v>17534</v>
      </c>
      <c r="E55" s="183">
        <f t="shared" si="1"/>
        <v>0.6</v>
      </c>
      <c r="F55" s="179">
        <f t="shared" si="2"/>
        <v>10520.4</v>
      </c>
    </row>
    <row r="56" spans="1:6">
      <c r="A56" s="177">
        <v>734540000</v>
      </c>
      <c r="B56" s="177">
        <v>482800</v>
      </c>
      <c r="C56" s="177">
        <v>412</v>
      </c>
      <c r="D56" s="179">
        <v>297</v>
      </c>
      <c r="E56" s="183">
        <f t="shared" si="1"/>
        <v>1</v>
      </c>
      <c r="F56" s="179">
        <f t="shared" si="2"/>
        <v>297</v>
      </c>
    </row>
    <row r="57" spans="1:6">
      <c r="A57" s="177">
        <v>689240000</v>
      </c>
      <c r="B57" s="177">
        <v>493593</v>
      </c>
      <c r="C57" s="177">
        <v>401</v>
      </c>
      <c r="D57" s="179">
        <v>53</v>
      </c>
      <c r="E57" s="183">
        <f t="shared" si="1"/>
        <v>0.8</v>
      </c>
      <c r="F57" s="179">
        <f t="shared" si="2"/>
        <v>42.400000000000006</v>
      </c>
    </row>
    <row r="58" spans="1:6">
      <c r="A58" s="177">
        <v>37140100</v>
      </c>
      <c r="B58" s="177">
        <v>506923</v>
      </c>
      <c r="C58" s="177">
        <v>507</v>
      </c>
      <c r="D58" s="179">
        <v>81</v>
      </c>
      <c r="E58" s="183">
        <f t="shared" si="1"/>
        <v>0.8</v>
      </c>
      <c r="F58" s="179">
        <f t="shared" si="2"/>
        <v>64.8</v>
      </c>
    </row>
    <row r="59" spans="1:6">
      <c r="A59" s="177">
        <v>473950100</v>
      </c>
      <c r="B59" s="177">
        <v>508203</v>
      </c>
      <c r="C59" s="177">
        <v>315</v>
      </c>
      <c r="D59" s="179">
        <v>32</v>
      </c>
      <c r="E59" s="183">
        <f t="shared" si="1"/>
        <v>0.8</v>
      </c>
      <c r="F59" s="179">
        <f t="shared" si="2"/>
        <v>25.6</v>
      </c>
    </row>
    <row r="60" spans="1:6">
      <c r="A60" s="177">
        <v>750680000</v>
      </c>
      <c r="B60" s="177">
        <v>524800</v>
      </c>
      <c r="C60" s="177">
        <v>404</v>
      </c>
      <c r="D60" s="179">
        <v>3032</v>
      </c>
      <c r="E60" s="183">
        <f t="shared" si="1"/>
        <v>0.8</v>
      </c>
      <c r="F60" s="179">
        <f t="shared" si="2"/>
        <v>2425.6</v>
      </c>
    </row>
    <row r="61" spans="1:6">
      <c r="A61" s="177">
        <v>55610300</v>
      </c>
      <c r="B61" s="177">
        <v>556101</v>
      </c>
      <c r="C61" s="177">
        <v>401</v>
      </c>
      <c r="D61" s="179">
        <v>60</v>
      </c>
      <c r="E61" s="183">
        <f t="shared" si="1"/>
        <v>0.8</v>
      </c>
      <c r="F61" s="179">
        <f t="shared" si="2"/>
        <v>48</v>
      </c>
    </row>
    <row r="62" spans="1:6">
      <c r="A62" s="177">
        <v>724590000</v>
      </c>
      <c r="B62" s="177">
        <v>563619</v>
      </c>
      <c r="C62" s="177">
        <v>401</v>
      </c>
      <c r="D62" s="179">
        <v>552</v>
      </c>
      <c r="E62" s="183">
        <f t="shared" si="1"/>
        <v>1.2</v>
      </c>
      <c r="F62" s="179">
        <f t="shared" si="2"/>
        <v>662.4</v>
      </c>
    </row>
    <row r="63" spans="1:6">
      <c r="A63" s="177">
        <v>596230000</v>
      </c>
      <c r="B63" s="177">
        <v>568964</v>
      </c>
      <c r="C63" s="177">
        <v>809</v>
      </c>
      <c r="D63" s="179">
        <v>4</v>
      </c>
      <c r="E63" s="183">
        <f t="shared" si="1"/>
        <v>0.8</v>
      </c>
      <c r="F63" s="179">
        <f t="shared" si="2"/>
        <v>3.2</v>
      </c>
    </row>
    <row r="64" spans="1:6">
      <c r="A64" s="177">
        <v>57320000</v>
      </c>
      <c r="B64" s="177">
        <v>573200</v>
      </c>
      <c r="C64" s="177">
        <v>507</v>
      </c>
      <c r="D64" s="179">
        <v>175</v>
      </c>
      <c r="E64" s="183">
        <f t="shared" si="1"/>
        <v>1</v>
      </c>
      <c r="F64" s="179">
        <f t="shared" si="2"/>
        <v>175</v>
      </c>
    </row>
    <row r="65" spans="1:6">
      <c r="A65" s="177">
        <v>57590000</v>
      </c>
      <c r="B65" s="177">
        <v>575900</v>
      </c>
      <c r="C65" s="177">
        <v>507</v>
      </c>
      <c r="D65" s="179">
        <v>160</v>
      </c>
      <c r="E65" s="183">
        <f t="shared" si="1"/>
        <v>1</v>
      </c>
      <c r="F65" s="179">
        <f t="shared" si="2"/>
        <v>160</v>
      </c>
    </row>
    <row r="66" spans="1:6">
      <c r="A66" s="177">
        <v>58020200</v>
      </c>
      <c r="B66" s="177">
        <v>580202</v>
      </c>
      <c r="C66" s="177">
        <v>507</v>
      </c>
      <c r="D66" s="179">
        <v>61</v>
      </c>
      <c r="E66" s="183">
        <f t="shared" si="1"/>
        <v>0.8</v>
      </c>
      <c r="F66" s="179">
        <f t="shared" si="2"/>
        <v>48.800000000000004</v>
      </c>
    </row>
    <row r="67" spans="1:6">
      <c r="A67" s="177">
        <v>662480100</v>
      </c>
      <c r="B67" s="177">
        <v>582171</v>
      </c>
      <c r="C67" s="177">
        <v>401</v>
      </c>
      <c r="D67" s="179">
        <v>11</v>
      </c>
      <c r="E67" s="183">
        <f t="shared" si="1"/>
        <v>0.8</v>
      </c>
      <c r="F67" s="179">
        <f t="shared" si="2"/>
        <v>8.8000000000000007</v>
      </c>
    </row>
    <row r="68" spans="1:6">
      <c r="A68" s="177">
        <v>65090000</v>
      </c>
      <c r="B68" s="177">
        <v>650900</v>
      </c>
      <c r="C68" s="177">
        <v>507</v>
      </c>
      <c r="D68" s="179">
        <v>89</v>
      </c>
      <c r="E68" s="183">
        <f t="shared" si="1"/>
        <v>0.8</v>
      </c>
      <c r="F68" s="179">
        <f t="shared" si="2"/>
        <v>71.2</v>
      </c>
    </row>
    <row r="69" spans="1:6">
      <c r="A69" s="177">
        <v>65820000</v>
      </c>
      <c r="B69" s="177">
        <v>658200</v>
      </c>
      <c r="C69" s="177">
        <v>522</v>
      </c>
      <c r="D69" s="179">
        <v>75</v>
      </c>
      <c r="E69" s="183">
        <f t="shared" si="1"/>
        <v>0.8</v>
      </c>
      <c r="F69" s="179">
        <f t="shared" si="2"/>
        <v>60</v>
      </c>
    </row>
    <row r="70" spans="1:6">
      <c r="A70" s="177">
        <v>66160100</v>
      </c>
      <c r="B70" s="177">
        <v>661600</v>
      </c>
      <c r="C70" s="177">
        <v>321</v>
      </c>
      <c r="D70" s="179">
        <v>56</v>
      </c>
      <c r="E70" s="183">
        <f t="shared" si="1"/>
        <v>0.8</v>
      </c>
      <c r="F70" s="179">
        <f t="shared" si="2"/>
        <v>44.800000000000004</v>
      </c>
    </row>
    <row r="71" spans="1:6">
      <c r="A71" s="177">
        <v>145540200</v>
      </c>
      <c r="B71" s="177">
        <v>674291</v>
      </c>
      <c r="C71" s="177">
        <v>311</v>
      </c>
      <c r="D71" s="179">
        <v>66</v>
      </c>
      <c r="E71" s="183">
        <f t="shared" si="1"/>
        <v>0.8</v>
      </c>
      <c r="F71" s="179">
        <f t="shared" si="2"/>
        <v>52.800000000000004</v>
      </c>
    </row>
    <row r="72" spans="1:6">
      <c r="A72" s="177">
        <v>470570100</v>
      </c>
      <c r="B72" s="177">
        <v>702878</v>
      </c>
      <c r="C72" s="177">
        <v>311</v>
      </c>
      <c r="D72" s="179">
        <v>5</v>
      </c>
      <c r="E72" s="183">
        <f t="shared" si="1"/>
        <v>0.8</v>
      </c>
      <c r="F72" s="179">
        <f t="shared" si="2"/>
        <v>4</v>
      </c>
    </row>
    <row r="73" spans="1:6">
      <c r="A73" s="177">
        <v>538840000</v>
      </c>
      <c r="B73" s="177">
        <v>705426</v>
      </c>
      <c r="C73" s="177">
        <v>415</v>
      </c>
      <c r="D73" s="179">
        <v>22</v>
      </c>
      <c r="E73" s="183">
        <f t="shared" si="1"/>
        <v>0.8</v>
      </c>
      <c r="F73" s="179">
        <f t="shared" si="2"/>
        <v>17.600000000000001</v>
      </c>
    </row>
    <row r="74" spans="1:6">
      <c r="A74" s="177">
        <v>192170100</v>
      </c>
      <c r="B74" s="177">
        <v>713750</v>
      </c>
      <c r="C74" s="177">
        <v>311</v>
      </c>
      <c r="D74" s="179">
        <v>17</v>
      </c>
      <c r="E74" s="183">
        <f t="shared" si="1"/>
        <v>0.8</v>
      </c>
      <c r="F74" s="179">
        <f t="shared" si="2"/>
        <v>13.600000000000001</v>
      </c>
    </row>
    <row r="75" spans="1:6">
      <c r="A75" s="177">
        <v>73810100</v>
      </c>
      <c r="B75" s="177">
        <v>738101</v>
      </c>
      <c r="C75" s="177">
        <v>415</v>
      </c>
      <c r="D75" s="179">
        <v>31</v>
      </c>
      <c r="E75" s="183">
        <f t="shared" ref="E75:E138" si="3">VLOOKUP(D75,$A$3:$C$7,3,TRUE)</f>
        <v>0.8</v>
      </c>
      <c r="F75" s="179">
        <f t="shared" ref="F75:F138" si="4">VLOOKUP(D75,$A$3:$C$7,3,TRUE)*D75</f>
        <v>24.8</v>
      </c>
    </row>
    <row r="76" spans="1:6">
      <c r="A76" s="177">
        <v>596660000</v>
      </c>
      <c r="B76" s="177">
        <v>795856</v>
      </c>
      <c r="C76" s="177">
        <v>809</v>
      </c>
      <c r="D76" s="179">
        <v>4</v>
      </c>
      <c r="E76" s="183">
        <f t="shared" si="3"/>
        <v>0.8</v>
      </c>
      <c r="F76" s="179">
        <f t="shared" si="4"/>
        <v>3.2</v>
      </c>
    </row>
    <row r="77" spans="1:6">
      <c r="A77" s="177">
        <v>80630000</v>
      </c>
      <c r="B77" s="177">
        <v>806300</v>
      </c>
      <c r="C77" s="177">
        <v>803</v>
      </c>
      <c r="D77" s="179">
        <v>923</v>
      </c>
      <c r="E77" s="183">
        <f t="shared" si="3"/>
        <v>1.2</v>
      </c>
      <c r="F77" s="179">
        <f t="shared" si="4"/>
        <v>1107.5999999999999</v>
      </c>
    </row>
    <row r="78" spans="1:6">
      <c r="A78" s="177">
        <v>84970001</v>
      </c>
      <c r="B78" s="177">
        <v>849701</v>
      </c>
      <c r="C78" s="177">
        <v>507</v>
      </c>
      <c r="D78" s="179">
        <v>78</v>
      </c>
      <c r="E78" s="183">
        <f t="shared" si="3"/>
        <v>0.8</v>
      </c>
      <c r="F78" s="179">
        <f t="shared" si="4"/>
        <v>62.400000000000006</v>
      </c>
    </row>
    <row r="79" spans="1:6">
      <c r="A79" s="177">
        <v>5920100</v>
      </c>
      <c r="B79" s="177">
        <v>862474</v>
      </c>
      <c r="C79" s="177">
        <v>401</v>
      </c>
      <c r="D79" s="179">
        <v>10</v>
      </c>
      <c r="E79" s="183">
        <f t="shared" si="3"/>
        <v>0.8</v>
      </c>
      <c r="F79" s="179">
        <f t="shared" si="4"/>
        <v>8</v>
      </c>
    </row>
    <row r="80" spans="1:6">
      <c r="A80" s="177">
        <v>671250100</v>
      </c>
      <c r="B80" s="177">
        <v>865451</v>
      </c>
      <c r="C80" s="177">
        <v>311</v>
      </c>
      <c r="D80" s="179">
        <v>39</v>
      </c>
      <c r="E80" s="183">
        <f t="shared" si="3"/>
        <v>0.8</v>
      </c>
      <c r="F80" s="179">
        <f t="shared" si="4"/>
        <v>31.200000000000003</v>
      </c>
    </row>
    <row r="81" spans="1:6">
      <c r="A81" s="177">
        <v>86590000</v>
      </c>
      <c r="B81" s="177">
        <v>865900</v>
      </c>
      <c r="C81" s="177">
        <v>802</v>
      </c>
      <c r="D81" s="179">
        <v>6231</v>
      </c>
      <c r="E81" s="183">
        <f t="shared" si="3"/>
        <v>0.6</v>
      </c>
      <c r="F81" s="179">
        <f t="shared" si="4"/>
        <v>3738.6</v>
      </c>
    </row>
    <row r="82" spans="1:6">
      <c r="A82" s="177">
        <v>86620000</v>
      </c>
      <c r="B82" s="177">
        <v>866200</v>
      </c>
      <c r="C82" s="177">
        <v>315</v>
      </c>
      <c r="D82" s="179">
        <v>315</v>
      </c>
      <c r="E82" s="183">
        <f t="shared" si="3"/>
        <v>1</v>
      </c>
      <c r="F82" s="179">
        <f t="shared" si="4"/>
        <v>315</v>
      </c>
    </row>
    <row r="83" spans="1:6">
      <c r="A83" s="177">
        <v>86630000</v>
      </c>
      <c r="B83" s="177">
        <v>866300</v>
      </c>
      <c r="C83" s="177">
        <v>401</v>
      </c>
      <c r="D83" s="179">
        <v>60</v>
      </c>
      <c r="E83" s="183">
        <f t="shared" si="3"/>
        <v>0.8</v>
      </c>
      <c r="F83" s="179">
        <f t="shared" si="4"/>
        <v>48</v>
      </c>
    </row>
    <row r="84" spans="1:6">
      <c r="A84" s="177">
        <v>88460300</v>
      </c>
      <c r="B84" s="177">
        <v>867100</v>
      </c>
      <c r="C84" s="177">
        <v>315</v>
      </c>
      <c r="D84" s="179">
        <v>7139</v>
      </c>
      <c r="E84" s="183">
        <f t="shared" si="3"/>
        <v>0.6</v>
      </c>
      <c r="F84" s="179">
        <f t="shared" si="4"/>
        <v>4283.3999999999996</v>
      </c>
    </row>
    <row r="85" spans="1:6">
      <c r="A85" s="177">
        <v>982160000</v>
      </c>
      <c r="B85" s="177">
        <v>869487</v>
      </c>
      <c r="C85" s="177">
        <v>311</v>
      </c>
      <c r="D85" s="179">
        <v>93</v>
      </c>
      <c r="E85" s="183">
        <f t="shared" si="3"/>
        <v>0.8</v>
      </c>
      <c r="F85" s="179">
        <f t="shared" si="4"/>
        <v>74.400000000000006</v>
      </c>
    </row>
    <row r="86" spans="1:6">
      <c r="A86" s="177">
        <v>994120000</v>
      </c>
      <c r="B86" s="177">
        <v>869487</v>
      </c>
      <c r="C86" s="177">
        <v>311</v>
      </c>
      <c r="D86" s="179">
        <v>43</v>
      </c>
      <c r="E86" s="183">
        <f t="shared" si="3"/>
        <v>0.8</v>
      </c>
      <c r="F86" s="179">
        <f t="shared" si="4"/>
        <v>34.4</v>
      </c>
    </row>
    <row r="87" spans="1:6">
      <c r="A87" s="177">
        <v>1014880000</v>
      </c>
      <c r="B87" s="177">
        <v>869487</v>
      </c>
      <c r="C87" s="177">
        <v>805</v>
      </c>
      <c r="D87" s="179">
        <v>207</v>
      </c>
      <c r="E87" s="183">
        <f t="shared" si="3"/>
        <v>1</v>
      </c>
      <c r="F87" s="179">
        <f t="shared" si="4"/>
        <v>207</v>
      </c>
    </row>
    <row r="88" spans="1:6">
      <c r="A88" s="177">
        <v>86980000</v>
      </c>
      <c r="B88" s="177">
        <v>869800</v>
      </c>
      <c r="C88" s="177">
        <v>401</v>
      </c>
      <c r="D88" s="179">
        <v>107</v>
      </c>
      <c r="E88" s="183">
        <f t="shared" si="3"/>
        <v>1</v>
      </c>
      <c r="F88" s="179">
        <f t="shared" si="4"/>
        <v>107</v>
      </c>
    </row>
    <row r="89" spans="1:6">
      <c r="A89" s="177">
        <v>400062800</v>
      </c>
      <c r="B89" s="177">
        <v>880633</v>
      </c>
      <c r="C89" s="177">
        <v>661</v>
      </c>
      <c r="D89" s="179">
        <v>520</v>
      </c>
      <c r="E89" s="183">
        <f t="shared" si="3"/>
        <v>1.2</v>
      </c>
      <c r="F89" s="179">
        <f t="shared" si="4"/>
        <v>624</v>
      </c>
    </row>
    <row r="90" spans="1:6">
      <c r="A90" s="177">
        <v>88120000</v>
      </c>
      <c r="B90" s="177">
        <v>881200</v>
      </c>
      <c r="C90" s="177">
        <v>401</v>
      </c>
      <c r="D90" s="179">
        <v>311</v>
      </c>
      <c r="E90" s="183">
        <f t="shared" si="3"/>
        <v>1</v>
      </c>
      <c r="F90" s="179">
        <f t="shared" si="4"/>
        <v>311</v>
      </c>
    </row>
    <row r="91" spans="1:6">
      <c r="A91" s="177">
        <v>88300000</v>
      </c>
      <c r="B91" s="177">
        <v>883000</v>
      </c>
      <c r="C91" s="177">
        <v>401</v>
      </c>
      <c r="D91" s="179">
        <v>317</v>
      </c>
      <c r="E91" s="183">
        <f t="shared" si="3"/>
        <v>1</v>
      </c>
      <c r="F91" s="179">
        <f t="shared" si="4"/>
        <v>317</v>
      </c>
    </row>
    <row r="92" spans="1:6">
      <c r="A92" s="177">
        <v>88300200</v>
      </c>
      <c r="B92" s="177">
        <v>883000</v>
      </c>
      <c r="C92" s="177">
        <v>810</v>
      </c>
      <c r="D92" s="179">
        <v>716</v>
      </c>
      <c r="E92" s="183">
        <f t="shared" si="3"/>
        <v>1.2</v>
      </c>
      <c r="F92" s="179">
        <f t="shared" si="4"/>
        <v>859.19999999999993</v>
      </c>
    </row>
    <row r="93" spans="1:6">
      <c r="A93" s="177">
        <v>89710100</v>
      </c>
      <c r="B93" s="177">
        <v>887101</v>
      </c>
      <c r="C93" s="177">
        <v>410</v>
      </c>
      <c r="D93" s="179">
        <v>5183</v>
      </c>
      <c r="E93" s="183">
        <f t="shared" si="3"/>
        <v>0.6</v>
      </c>
      <c r="F93" s="179">
        <f t="shared" si="4"/>
        <v>3109.7999999999997</v>
      </c>
    </row>
    <row r="94" spans="1:6">
      <c r="A94" s="177">
        <v>626840000</v>
      </c>
      <c r="B94" s="177">
        <v>887101</v>
      </c>
      <c r="C94" s="177">
        <v>390</v>
      </c>
      <c r="D94" s="179">
        <v>3762</v>
      </c>
      <c r="E94" s="183">
        <f t="shared" si="3"/>
        <v>0.8</v>
      </c>
      <c r="F94" s="179">
        <f t="shared" si="4"/>
        <v>3009.6000000000004</v>
      </c>
    </row>
    <row r="95" spans="1:6">
      <c r="A95" s="177">
        <v>88810000</v>
      </c>
      <c r="B95" s="177">
        <v>888100</v>
      </c>
      <c r="C95" s="177">
        <v>311</v>
      </c>
      <c r="D95" s="179">
        <v>1243</v>
      </c>
      <c r="E95" s="183">
        <f t="shared" si="3"/>
        <v>0.8</v>
      </c>
      <c r="F95" s="179">
        <f t="shared" si="4"/>
        <v>994.40000000000009</v>
      </c>
    </row>
    <row r="96" spans="1:6">
      <c r="A96" s="177">
        <v>88890000</v>
      </c>
      <c r="B96" s="177">
        <v>888900</v>
      </c>
      <c r="C96" s="177">
        <v>311</v>
      </c>
      <c r="D96" s="179">
        <v>362</v>
      </c>
      <c r="E96" s="183">
        <f t="shared" si="3"/>
        <v>1</v>
      </c>
      <c r="F96" s="179">
        <f t="shared" si="4"/>
        <v>362</v>
      </c>
    </row>
    <row r="97" spans="1:6">
      <c r="A97" s="177">
        <v>89040000</v>
      </c>
      <c r="B97" s="177">
        <v>890400</v>
      </c>
      <c r="C97" s="177">
        <v>401</v>
      </c>
      <c r="D97" s="179">
        <v>1092</v>
      </c>
      <c r="E97" s="183">
        <f t="shared" si="3"/>
        <v>0.8</v>
      </c>
      <c r="F97" s="179">
        <f t="shared" si="4"/>
        <v>873.6</v>
      </c>
    </row>
    <row r="98" spans="1:6">
      <c r="A98" s="177">
        <v>89170000</v>
      </c>
      <c r="B98" s="177">
        <v>891700</v>
      </c>
      <c r="C98" s="177">
        <v>401</v>
      </c>
      <c r="D98" s="179">
        <v>38</v>
      </c>
      <c r="E98" s="183">
        <f t="shared" si="3"/>
        <v>0.8</v>
      </c>
      <c r="F98" s="179">
        <f t="shared" si="4"/>
        <v>30.400000000000002</v>
      </c>
    </row>
    <row r="99" spans="1:6">
      <c r="A99" s="177">
        <v>89250100</v>
      </c>
      <c r="B99" s="177">
        <v>892501</v>
      </c>
      <c r="C99" s="177">
        <v>401</v>
      </c>
      <c r="D99" s="179">
        <v>638</v>
      </c>
      <c r="E99" s="183">
        <f t="shared" si="3"/>
        <v>1.2</v>
      </c>
      <c r="F99" s="179">
        <f t="shared" si="4"/>
        <v>765.6</v>
      </c>
    </row>
    <row r="100" spans="1:6">
      <c r="A100" s="177">
        <v>89290000</v>
      </c>
      <c r="B100" s="177">
        <v>892900</v>
      </c>
      <c r="C100" s="177">
        <v>311</v>
      </c>
      <c r="D100" s="179">
        <v>139</v>
      </c>
      <c r="E100" s="183">
        <f t="shared" si="3"/>
        <v>1</v>
      </c>
      <c r="F100" s="179">
        <f t="shared" si="4"/>
        <v>139</v>
      </c>
    </row>
    <row r="101" spans="1:6">
      <c r="A101" s="177">
        <v>89520500</v>
      </c>
      <c r="B101" s="177">
        <v>895200</v>
      </c>
      <c r="C101" s="177">
        <v>390</v>
      </c>
      <c r="D101" s="179">
        <v>7152</v>
      </c>
      <c r="E101" s="183">
        <f t="shared" si="3"/>
        <v>0.6</v>
      </c>
      <c r="F101" s="179">
        <f t="shared" si="4"/>
        <v>4291.2</v>
      </c>
    </row>
    <row r="102" spans="1:6">
      <c r="A102" s="177">
        <v>478550000</v>
      </c>
      <c r="B102" s="177">
        <v>895200</v>
      </c>
      <c r="C102" s="177">
        <v>407</v>
      </c>
      <c r="D102" s="179">
        <v>340</v>
      </c>
      <c r="E102" s="183">
        <f t="shared" si="3"/>
        <v>1</v>
      </c>
      <c r="F102" s="179">
        <f t="shared" si="4"/>
        <v>340</v>
      </c>
    </row>
    <row r="103" spans="1:6">
      <c r="A103" s="177">
        <v>89520400</v>
      </c>
      <c r="B103" s="177">
        <v>895204</v>
      </c>
      <c r="C103" s="177">
        <v>407</v>
      </c>
      <c r="D103" s="179">
        <v>240</v>
      </c>
      <c r="E103" s="183">
        <f t="shared" si="3"/>
        <v>1</v>
      </c>
      <c r="F103" s="179">
        <f t="shared" si="4"/>
        <v>240</v>
      </c>
    </row>
    <row r="104" spans="1:6">
      <c r="A104" s="177">
        <v>89550100</v>
      </c>
      <c r="B104" s="177">
        <v>895501</v>
      </c>
      <c r="C104" s="177">
        <v>401</v>
      </c>
      <c r="D104" s="179">
        <v>300</v>
      </c>
      <c r="E104" s="183">
        <f t="shared" si="3"/>
        <v>1</v>
      </c>
      <c r="F104" s="179">
        <f t="shared" si="4"/>
        <v>300</v>
      </c>
    </row>
    <row r="105" spans="1:6">
      <c r="A105" s="177">
        <v>89630000</v>
      </c>
      <c r="B105" s="177">
        <v>896300</v>
      </c>
      <c r="C105" s="177">
        <v>401</v>
      </c>
      <c r="D105" s="179">
        <v>3340</v>
      </c>
      <c r="E105" s="183">
        <f t="shared" si="3"/>
        <v>0.8</v>
      </c>
      <c r="F105" s="179">
        <f t="shared" si="4"/>
        <v>2672</v>
      </c>
    </row>
    <row r="106" spans="1:6">
      <c r="A106" s="177">
        <v>89690200</v>
      </c>
      <c r="B106" s="177">
        <v>896902</v>
      </c>
      <c r="C106" s="177">
        <v>411</v>
      </c>
      <c r="D106" s="179">
        <v>2197</v>
      </c>
      <c r="E106" s="183">
        <f t="shared" si="3"/>
        <v>0.8</v>
      </c>
      <c r="F106" s="179">
        <f t="shared" si="4"/>
        <v>1757.6000000000001</v>
      </c>
    </row>
    <row r="107" spans="1:6">
      <c r="A107" s="177">
        <v>627260000</v>
      </c>
      <c r="B107" s="177">
        <v>897200</v>
      </c>
      <c r="C107" s="177">
        <v>390</v>
      </c>
      <c r="D107" s="179">
        <v>25927</v>
      </c>
      <c r="E107" s="183">
        <f t="shared" si="3"/>
        <v>0.6</v>
      </c>
      <c r="F107" s="179">
        <f t="shared" si="4"/>
        <v>15556.199999999999</v>
      </c>
    </row>
    <row r="108" spans="1:6">
      <c r="A108" s="177">
        <v>89760000</v>
      </c>
      <c r="B108" s="177">
        <v>897600</v>
      </c>
      <c r="C108" s="177">
        <v>802</v>
      </c>
      <c r="D108" s="179">
        <v>16521</v>
      </c>
      <c r="E108" s="183">
        <f t="shared" si="3"/>
        <v>0.6</v>
      </c>
      <c r="F108" s="179">
        <f t="shared" si="4"/>
        <v>9912.6</v>
      </c>
    </row>
    <row r="109" spans="1:6">
      <c r="A109" s="177">
        <v>89800000</v>
      </c>
      <c r="B109" s="177">
        <v>898000</v>
      </c>
      <c r="C109" s="177">
        <v>401</v>
      </c>
      <c r="D109" s="179">
        <v>447</v>
      </c>
      <c r="E109" s="183">
        <f t="shared" si="3"/>
        <v>1</v>
      </c>
      <c r="F109" s="179">
        <f t="shared" si="4"/>
        <v>447</v>
      </c>
    </row>
    <row r="110" spans="1:6">
      <c r="A110" s="177">
        <v>91280000</v>
      </c>
      <c r="B110" s="177">
        <v>912800</v>
      </c>
      <c r="C110" s="177">
        <v>321</v>
      </c>
      <c r="D110" s="179">
        <v>50</v>
      </c>
      <c r="E110" s="183">
        <f t="shared" si="3"/>
        <v>0.8</v>
      </c>
      <c r="F110" s="179">
        <f t="shared" si="4"/>
        <v>40</v>
      </c>
    </row>
    <row r="111" spans="1:6">
      <c r="A111" s="177">
        <v>91460200</v>
      </c>
      <c r="B111" s="177">
        <v>914602</v>
      </c>
      <c r="C111" s="177">
        <v>507</v>
      </c>
      <c r="D111" s="179">
        <v>260</v>
      </c>
      <c r="E111" s="183">
        <f t="shared" si="3"/>
        <v>1</v>
      </c>
      <c r="F111" s="179">
        <f t="shared" si="4"/>
        <v>260</v>
      </c>
    </row>
    <row r="112" spans="1:6">
      <c r="A112" s="177">
        <v>91460400</v>
      </c>
      <c r="B112" s="177">
        <v>914604</v>
      </c>
      <c r="C112" s="177">
        <v>507</v>
      </c>
      <c r="D112" s="179">
        <v>999</v>
      </c>
      <c r="E112" s="183">
        <f t="shared" si="3"/>
        <v>1.2</v>
      </c>
      <c r="F112" s="179">
        <f t="shared" si="4"/>
        <v>1198.8</v>
      </c>
    </row>
    <row r="113" spans="1:6">
      <c r="A113" s="177">
        <v>400057500</v>
      </c>
      <c r="B113" s="177">
        <v>916072</v>
      </c>
      <c r="C113" s="177">
        <v>661</v>
      </c>
      <c r="D113" s="179">
        <v>2120</v>
      </c>
      <c r="E113" s="183">
        <f t="shared" si="3"/>
        <v>0.8</v>
      </c>
      <c r="F113" s="179">
        <f t="shared" si="4"/>
        <v>1696</v>
      </c>
    </row>
    <row r="114" spans="1:6">
      <c r="A114" s="177">
        <v>95300000</v>
      </c>
      <c r="B114" s="177">
        <v>953000</v>
      </c>
      <c r="C114" s="177">
        <v>507</v>
      </c>
      <c r="D114" s="179">
        <v>456</v>
      </c>
      <c r="E114" s="183">
        <f t="shared" si="3"/>
        <v>1</v>
      </c>
      <c r="F114" s="179">
        <f t="shared" si="4"/>
        <v>456</v>
      </c>
    </row>
    <row r="115" spans="1:6">
      <c r="A115" s="177">
        <v>95310000</v>
      </c>
      <c r="B115" s="177">
        <v>953100</v>
      </c>
      <c r="C115" s="177">
        <v>507</v>
      </c>
      <c r="D115" s="179">
        <v>105</v>
      </c>
      <c r="E115" s="183">
        <f t="shared" si="3"/>
        <v>1</v>
      </c>
      <c r="F115" s="179">
        <f t="shared" si="4"/>
        <v>105</v>
      </c>
    </row>
    <row r="116" spans="1:6">
      <c r="A116" s="177">
        <v>98230000</v>
      </c>
      <c r="B116" s="177">
        <v>982300</v>
      </c>
      <c r="C116" s="177">
        <v>882</v>
      </c>
      <c r="D116" s="179">
        <v>2955</v>
      </c>
      <c r="E116" s="183">
        <f t="shared" si="3"/>
        <v>0.8</v>
      </c>
      <c r="F116" s="179">
        <f t="shared" si="4"/>
        <v>2364</v>
      </c>
    </row>
    <row r="117" spans="1:6">
      <c r="A117" s="177">
        <v>99110000</v>
      </c>
      <c r="B117" s="177">
        <v>991100</v>
      </c>
      <c r="C117" s="177">
        <v>507</v>
      </c>
      <c r="D117" s="179">
        <v>151</v>
      </c>
      <c r="E117" s="183">
        <f t="shared" si="3"/>
        <v>1</v>
      </c>
      <c r="F117" s="179">
        <f t="shared" si="4"/>
        <v>151</v>
      </c>
    </row>
    <row r="118" spans="1:6">
      <c r="A118" s="177">
        <v>99730000</v>
      </c>
      <c r="B118" s="177">
        <v>997300</v>
      </c>
      <c r="C118" s="177">
        <v>507</v>
      </c>
      <c r="D118" s="179">
        <v>500</v>
      </c>
      <c r="E118" s="183">
        <f t="shared" si="3"/>
        <v>1.2</v>
      </c>
      <c r="F118" s="179">
        <f t="shared" si="4"/>
        <v>600</v>
      </c>
    </row>
    <row r="119" spans="1:6">
      <c r="A119" s="177">
        <v>238810100</v>
      </c>
      <c r="B119" s="177">
        <v>1034638</v>
      </c>
      <c r="C119" s="177">
        <v>311</v>
      </c>
      <c r="D119" s="179">
        <v>79</v>
      </c>
      <c r="E119" s="183">
        <f t="shared" si="3"/>
        <v>0.8</v>
      </c>
      <c r="F119" s="179">
        <f t="shared" si="4"/>
        <v>63.2</v>
      </c>
    </row>
    <row r="120" spans="1:6">
      <c r="A120" s="177">
        <v>522290000</v>
      </c>
      <c r="B120" s="177">
        <v>1062520</v>
      </c>
      <c r="C120" s="177">
        <v>311</v>
      </c>
      <c r="D120" s="179">
        <v>41</v>
      </c>
      <c r="E120" s="183">
        <f t="shared" si="3"/>
        <v>0.8</v>
      </c>
      <c r="F120" s="179">
        <f t="shared" si="4"/>
        <v>32.800000000000004</v>
      </c>
    </row>
    <row r="121" spans="1:6">
      <c r="A121" s="177">
        <v>377600000</v>
      </c>
      <c r="B121" s="177">
        <v>1146420</v>
      </c>
      <c r="C121" s="177">
        <v>311</v>
      </c>
      <c r="D121" s="179">
        <v>26</v>
      </c>
      <c r="E121" s="183">
        <f t="shared" si="3"/>
        <v>0.8</v>
      </c>
      <c r="F121" s="179">
        <f t="shared" si="4"/>
        <v>20.8</v>
      </c>
    </row>
    <row r="122" spans="1:6">
      <c r="A122" s="177">
        <v>230770200</v>
      </c>
      <c r="B122" s="177">
        <v>1151501</v>
      </c>
      <c r="C122" s="177">
        <v>311</v>
      </c>
      <c r="D122" s="179">
        <v>58</v>
      </c>
      <c r="E122" s="183">
        <f t="shared" si="3"/>
        <v>0.8</v>
      </c>
      <c r="F122" s="179">
        <f t="shared" si="4"/>
        <v>46.400000000000006</v>
      </c>
    </row>
    <row r="123" spans="1:6">
      <c r="A123" s="177">
        <v>119140000</v>
      </c>
      <c r="B123" s="177">
        <v>1191400</v>
      </c>
      <c r="C123" s="177">
        <v>401</v>
      </c>
      <c r="D123" s="179">
        <v>80</v>
      </c>
      <c r="E123" s="183">
        <f t="shared" si="3"/>
        <v>0.8</v>
      </c>
      <c r="F123" s="179">
        <f t="shared" si="4"/>
        <v>64</v>
      </c>
    </row>
    <row r="124" spans="1:6">
      <c r="A124" s="177">
        <v>119740000</v>
      </c>
      <c r="B124" s="177">
        <v>1197400</v>
      </c>
      <c r="C124" s="177">
        <v>315</v>
      </c>
      <c r="D124" s="179">
        <v>19</v>
      </c>
      <c r="E124" s="183">
        <f t="shared" si="3"/>
        <v>0.8</v>
      </c>
      <c r="F124" s="179">
        <f t="shared" si="4"/>
        <v>15.200000000000001</v>
      </c>
    </row>
    <row r="125" spans="1:6">
      <c r="A125" s="177">
        <v>120860000</v>
      </c>
      <c r="B125" s="177">
        <v>1208600</v>
      </c>
      <c r="C125" s="177">
        <v>902</v>
      </c>
      <c r="D125" s="179">
        <v>1035</v>
      </c>
      <c r="E125" s="183">
        <f t="shared" si="3"/>
        <v>0.8</v>
      </c>
      <c r="F125" s="179">
        <f t="shared" si="4"/>
        <v>828</v>
      </c>
    </row>
    <row r="126" spans="1:6">
      <c r="A126" s="177">
        <v>121070000</v>
      </c>
      <c r="B126" s="177">
        <v>1210700</v>
      </c>
      <c r="C126" s="177">
        <v>507</v>
      </c>
      <c r="D126" s="179">
        <v>70</v>
      </c>
      <c r="E126" s="183">
        <f t="shared" si="3"/>
        <v>0.8</v>
      </c>
      <c r="F126" s="179">
        <f t="shared" si="4"/>
        <v>56</v>
      </c>
    </row>
    <row r="127" spans="1:6">
      <c r="A127" s="177">
        <v>671630000</v>
      </c>
      <c r="B127" s="177">
        <v>1253000</v>
      </c>
      <c r="C127" s="177">
        <v>311</v>
      </c>
      <c r="D127" s="179">
        <v>49</v>
      </c>
      <c r="E127" s="183">
        <f t="shared" si="3"/>
        <v>0.8</v>
      </c>
      <c r="F127" s="179">
        <f t="shared" si="4"/>
        <v>39.200000000000003</v>
      </c>
    </row>
    <row r="128" spans="1:6">
      <c r="A128" s="177">
        <v>127380200</v>
      </c>
      <c r="B128" s="177">
        <v>1273802</v>
      </c>
      <c r="C128" s="177">
        <v>401</v>
      </c>
      <c r="D128" s="179">
        <v>100</v>
      </c>
      <c r="E128" s="183">
        <f t="shared" si="3"/>
        <v>1</v>
      </c>
      <c r="F128" s="179">
        <f t="shared" si="4"/>
        <v>100</v>
      </c>
    </row>
    <row r="129" spans="1:6">
      <c r="A129" s="177">
        <v>129740000</v>
      </c>
      <c r="B129" s="177">
        <v>1297400</v>
      </c>
      <c r="C129" s="177">
        <v>311</v>
      </c>
      <c r="D129" s="179">
        <v>75</v>
      </c>
      <c r="E129" s="183">
        <f t="shared" si="3"/>
        <v>0.8</v>
      </c>
      <c r="F129" s="179">
        <f t="shared" si="4"/>
        <v>60</v>
      </c>
    </row>
    <row r="130" spans="1:6">
      <c r="A130" s="177">
        <v>129970000</v>
      </c>
      <c r="B130" s="177">
        <v>1299700</v>
      </c>
      <c r="C130" s="177">
        <v>311</v>
      </c>
      <c r="D130" s="179">
        <v>63</v>
      </c>
      <c r="E130" s="183">
        <f t="shared" si="3"/>
        <v>0.8</v>
      </c>
      <c r="F130" s="179">
        <f t="shared" si="4"/>
        <v>50.400000000000006</v>
      </c>
    </row>
    <row r="131" spans="1:6">
      <c r="A131" s="177">
        <v>132410000</v>
      </c>
      <c r="B131" s="177">
        <v>1324100</v>
      </c>
      <c r="C131" s="177">
        <v>311</v>
      </c>
      <c r="D131" s="179">
        <v>60</v>
      </c>
      <c r="E131" s="183">
        <f t="shared" si="3"/>
        <v>0.8</v>
      </c>
      <c r="F131" s="179">
        <f t="shared" si="4"/>
        <v>48</v>
      </c>
    </row>
    <row r="132" spans="1:6">
      <c r="A132" s="177">
        <v>132830000</v>
      </c>
      <c r="B132" s="177">
        <v>1328300</v>
      </c>
      <c r="C132" s="177">
        <v>401</v>
      </c>
      <c r="D132" s="179">
        <v>57</v>
      </c>
      <c r="E132" s="183">
        <f t="shared" si="3"/>
        <v>0.8</v>
      </c>
      <c r="F132" s="179">
        <f t="shared" si="4"/>
        <v>45.6</v>
      </c>
    </row>
    <row r="133" spans="1:6">
      <c r="A133" s="177">
        <v>133050000</v>
      </c>
      <c r="B133" s="177">
        <v>1330500</v>
      </c>
      <c r="C133" s="177">
        <v>311</v>
      </c>
      <c r="D133" s="179">
        <v>30</v>
      </c>
      <c r="E133" s="183">
        <f t="shared" si="3"/>
        <v>0.8</v>
      </c>
      <c r="F133" s="179">
        <f t="shared" si="4"/>
        <v>24</v>
      </c>
    </row>
    <row r="134" spans="1:6">
      <c r="A134" s="177">
        <v>133170000</v>
      </c>
      <c r="B134" s="177">
        <v>1331700</v>
      </c>
      <c r="C134" s="177">
        <v>311</v>
      </c>
      <c r="D134" s="179">
        <v>38</v>
      </c>
      <c r="E134" s="183">
        <f t="shared" si="3"/>
        <v>0.8</v>
      </c>
      <c r="F134" s="179">
        <f t="shared" si="4"/>
        <v>30.400000000000002</v>
      </c>
    </row>
    <row r="135" spans="1:6">
      <c r="A135" s="177">
        <v>133180000</v>
      </c>
      <c r="B135" s="177">
        <v>1331800</v>
      </c>
      <c r="C135" s="177">
        <v>311</v>
      </c>
      <c r="D135" s="179">
        <v>17</v>
      </c>
      <c r="E135" s="183">
        <f t="shared" si="3"/>
        <v>0.8</v>
      </c>
      <c r="F135" s="179">
        <f t="shared" si="4"/>
        <v>13.600000000000001</v>
      </c>
    </row>
    <row r="136" spans="1:6">
      <c r="A136" s="177">
        <v>133240000</v>
      </c>
      <c r="B136" s="177">
        <v>1332400</v>
      </c>
      <c r="C136" s="177">
        <v>311</v>
      </c>
      <c r="D136" s="179">
        <v>36</v>
      </c>
      <c r="E136" s="183">
        <f t="shared" si="3"/>
        <v>0.8</v>
      </c>
      <c r="F136" s="179">
        <f t="shared" si="4"/>
        <v>28.8</v>
      </c>
    </row>
    <row r="137" spans="1:6">
      <c r="A137" s="177">
        <v>133340000</v>
      </c>
      <c r="B137" s="177">
        <v>1333400</v>
      </c>
      <c r="C137" s="177">
        <v>311</v>
      </c>
      <c r="D137" s="179">
        <v>16</v>
      </c>
      <c r="E137" s="183">
        <f t="shared" si="3"/>
        <v>0.8</v>
      </c>
      <c r="F137" s="179">
        <f t="shared" si="4"/>
        <v>12.8</v>
      </c>
    </row>
    <row r="138" spans="1:6">
      <c r="A138" s="177">
        <v>829860000</v>
      </c>
      <c r="B138" s="177">
        <v>1336502</v>
      </c>
      <c r="C138" s="177">
        <v>311</v>
      </c>
      <c r="D138" s="179">
        <v>66</v>
      </c>
      <c r="E138" s="183">
        <f t="shared" si="3"/>
        <v>0.8</v>
      </c>
      <c r="F138" s="179">
        <f t="shared" si="4"/>
        <v>52.800000000000004</v>
      </c>
    </row>
    <row r="139" spans="1:6">
      <c r="A139" s="177">
        <v>134020000</v>
      </c>
      <c r="B139" s="177">
        <v>1340200</v>
      </c>
      <c r="C139" s="177">
        <v>311</v>
      </c>
      <c r="D139" s="179">
        <v>49</v>
      </c>
      <c r="E139" s="183">
        <f t="shared" ref="E139:E202" si="5">VLOOKUP(D139,$A$3:$C$7,3,TRUE)</f>
        <v>0.8</v>
      </c>
      <c r="F139" s="179">
        <f t="shared" ref="F139:F202" si="6">VLOOKUP(D139,$A$3:$C$7,3,TRUE)*D139</f>
        <v>39.200000000000003</v>
      </c>
    </row>
    <row r="140" spans="1:6">
      <c r="A140" s="177">
        <v>134020100</v>
      </c>
      <c r="B140" s="177">
        <v>1340200</v>
      </c>
      <c r="C140" s="177">
        <v>311</v>
      </c>
      <c r="D140" s="179">
        <v>26</v>
      </c>
      <c r="E140" s="183">
        <f t="shared" si="5"/>
        <v>0.8</v>
      </c>
      <c r="F140" s="179">
        <f t="shared" si="6"/>
        <v>20.8</v>
      </c>
    </row>
    <row r="141" spans="1:6">
      <c r="A141" s="177">
        <v>400190600</v>
      </c>
      <c r="B141" s="177">
        <v>1349281</v>
      </c>
      <c r="C141" s="177">
        <v>661</v>
      </c>
      <c r="D141" s="179">
        <v>500</v>
      </c>
      <c r="E141" s="183">
        <f t="shared" si="5"/>
        <v>1.2</v>
      </c>
      <c r="F141" s="179">
        <f t="shared" si="6"/>
        <v>600</v>
      </c>
    </row>
    <row r="142" spans="1:6">
      <c r="A142" s="177">
        <v>817470000</v>
      </c>
      <c r="B142" s="177">
        <v>1367800</v>
      </c>
      <c r="C142" s="177">
        <v>311</v>
      </c>
      <c r="D142" s="179">
        <v>1163</v>
      </c>
      <c r="E142" s="183">
        <f t="shared" si="5"/>
        <v>0.8</v>
      </c>
      <c r="F142" s="179">
        <f t="shared" si="6"/>
        <v>930.40000000000009</v>
      </c>
    </row>
    <row r="143" spans="1:6">
      <c r="A143" s="177">
        <v>817470100</v>
      </c>
      <c r="B143" s="177">
        <v>1367800</v>
      </c>
      <c r="C143" s="177">
        <v>810</v>
      </c>
      <c r="D143" s="179">
        <v>1010</v>
      </c>
      <c r="E143" s="183">
        <f t="shared" si="5"/>
        <v>0.8</v>
      </c>
      <c r="F143" s="179">
        <f t="shared" si="6"/>
        <v>808</v>
      </c>
    </row>
    <row r="144" spans="1:6">
      <c r="A144" s="177">
        <v>765260000</v>
      </c>
      <c r="B144" s="177">
        <v>1368400</v>
      </c>
      <c r="C144" s="177">
        <v>313</v>
      </c>
      <c r="D144" s="179">
        <v>921</v>
      </c>
      <c r="E144" s="183">
        <f t="shared" si="5"/>
        <v>1.2</v>
      </c>
      <c r="F144" s="179">
        <f t="shared" si="6"/>
        <v>1105.2</v>
      </c>
    </row>
    <row r="145" spans="1:6">
      <c r="A145" s="177">
        <v>136920000</v>
      </c>
      <c r="B145" s="177">
        <v>1369200</v>
      </c>
      <c r="C145" s="177">
        <v>507</v>
      </c>
      <c r="D145" s="179">
        <v>227</v>
      </c>
      <c r="E145" s="183">
        <f t="shared" si="5"/>
        <v>1</v>
      </c>
      <c r="F145" s="179">
        <f t="shared" si="6"/>
        <v>227</v>
      </c>
    </row>
    <row r="146" spans="1:6">
      <c r="A146" s="177">
        <v>440660000</v>
      </c>
      <c r="B146" s="177">
        <v>1369800</v>
      </c>
      <c r="C146" s="177">
        <v>513</v>
      </c>
      <c r="D146" s="179">
        <v>178</v>
      </c>
      <c r="E146" s="183">
        <f t="shared" si="5"/>
        <v>1</v>
      </c>
      <c r="F146" s="179">
        <f t="shared" si="6"/>
        <v>178</v>
      </c>
    </row>
    <row r="147" spans="1:6">
      <c r="A147" s="177">
        <v>137130100</v>
      </c>
      <c r="B147" s="177">
        <v>1371301</v>
      </c>
      <c r="C147" s="177">
        <v>311</v>
      </c>
      <c r="D147" s="179">
        <v>80</v>
      </c>
      <c r="E147" s="183">
        <f t="shared" si="5"/>
        <v>0.8</v>
      </c>
      <c r="F147" s="179">
        <f t="shared" si="6"/>
        <v>64</v>
      </c>
    </row>
    <row r="148" spans="1:6">
      <c r="A148" s="177">
        <v>545460000</v>
      </c>
      <c r="B148" s="177">
        <v>1372500</v>
      </c>
      <c r="C148" s="177">
        <v>311</v>
      </c>
      <c r="D148" s="179">
        <v>37</v>
      </c>
      <c r="E148" s="183">
        <f t="shared" si="5"/>
        <v>0.8</v>
      </c>
      <c r="F148" s="179">
        <f t="shared" si="6"/>
        <v>29.6</v>
      </c>
    </row>
    <row r="149" spans="1:6">
      <c r="A149" s="177">
        <v>155110100</v>
      </c>
      <c r="B149" s="177">
        <v>1377100</v>
      </c>
      <c r="C149" s="177">
        <v>311</v>
      </c>
      <c r="D149" s="179">
        <v>91</v>
      </c>
      <c r="E149" s="183">
        <f t="shared" si="5"/>
        <v>0.8</v>
      </c>
      <c r="F149" s="179">
        <f t="shared" si="6"/>
        <v>72.8</v>
      </c>
    </row>
    <row r="150" spans="1:6">
      <c r="A150" s="177">
        <v>109980100</v>
      </c>
      <c r="B150" s="177">
        <v>1380864</v>
      </c>
      <c r="C150" s="177">
        <v>311</v>
      </c>
      <c r="D150" s="179">
        <v>42</v>
      </c>
      <c r="E150" s="183">
        <f t="shared" si="5"/>
        <v>0.8</v>
      </c>
      <c r="F150" s="179">
        <f t="shared" si="6"/>
        <v>33.6</v>
      </c>
    </row>
    <row r="151" spans="1:6">
      <c r="A151" s="177">
        <v>138780300</v>
      </c>
      <c r="B151" s="177">
        <v>1387802</v>
      </c>
      <c r="C151" s="177">
        <v>311</v>
      </c>
      <c r="D151" s="179">
        <v>112</v>
      </c>
      <c r="E151" s="183">
        <f t="shared" si="5"/>
        <v>1</v>
      </c>
      <c r="F151" s="179">
        <f t="shared" si="6"/>
        <v>112</v>
      </c>
    </row>
    <row r="152" spans="1:6">
      <c r="A152" s="177">
        <v>140320000</v>
      </c>
      <c r="B152" s="177">
        <v>1403200</v>
      </c>
      <c r="C152" s="177">
        <v>401</v>
      </c>
      <c r="D152" s="179">
        <v>16</v>
      </c>
      <c r="E152" s="183">
        <f t="shared" si="5"/>
        <v>0.8</v>
      </c>
      <c r="F152" s="179">
        <f t="shared" si="6"/>
        <v>12.8</v>
      </c>
    </row>
    <row r="153" spans="1:6">
      <c r="A153" s="177">
        <v>648910000</v>
      </c>
      <c r="B153" s="177">
        <v>1410101</v>
      </c>
      <c r="C153" s="177">
        <v>810</v>
      </c>
      <c r="D153" s="179">
        <v>815</v>
      </c>
      <c r="E153" s="183">
        <f t="shared" si="5"/>
        <v>1.2</v>
      </c>
      <c r="F153" s="179">
        <f t="shared" si="6"/>
        <v>978</v>
      </c>
    </row>
    <row r="154" spans="1:6">
      <c r="A154" s="177">
        <v>648920000</v>
      </c>
      <c r="B154" s="177">
        <v>1410101</v>
      </c>
      <c r="C154" s="177">
        <v>313</v>
      </c>
      <c r="D154" s="179">
        <v>2357</v>
      </c>
      <c r="E154" s="183">
        <f t="shared" si="5"/>
        <v>0.8</v>
      </c>
      <c r="F154" s="179">
        <f t="shared" si="6"/>
        <v>1885.6000000000001</v>
      </c>
    </row>
    <row r="155" spans="1:6">
      <c r="A155" s="177">
        <v>648930000</v>
      </c>
      <c r="B155" s="177">
        <v>1410101</v>
      </c>
      <c r="C155" s="177">
        <v>313</v>
      </c>
      <c r="D155" s="179">
        <v>993</v>
      </c>
      <c r="E155" s="183">
        <f t="shared" si="5"/>
        <v>1.2</v>
      </c>
      <c r="F155" s="179">
        <f t="shared" si="6"/>
        <v>1191.5999999999999</v>
      </c>
    </row>
    <row r="156" spans="1:6">
      <c r="A156" s="177">
        <v>730010000</v>
      </c>
      <c r="B156" s="177">
        <v>1410101</v>
      </c>
      <c r="C156" s="177">
        <v>313</v>
      </c>
      <c r="D156" s="179">
        <v>415</v>
      </c>
      <c r="E156" s="183">
        <f t="shared" si="5"/>
        <v>1</v>
      </c>
      <c r="F156" s="179">
        <f t="shared" si="6"/>
        <v>415</v>
      </c>
    </row>
    <row r="157" spans="1:6">
      <c r="A157" s="177">
        <v>141250000</v>
      </c>
      <c r="B157" s="177">
        <v>1412500</v>
      </c>
      <c r="C157" s="177">
        <v>507</v>
      </c>
      <c r="D157" s="179">
        <v>110</v>
      </c>
      <c r="E157" s="183">
        <f t="shared" si="5"/>
        <v>1</v>
      </c>
      <c r="F157" s="179">
        <f t="shared" si="6"/>
        <v>110</v>
      </c>
    </row>
    <row r="158" spans="1:6">
      <c r="A158" s="177">
        <v>141820300</v>
      </c>
      <c r="B158" s="177">
        <v>1418203</v>
      </c>
      <c r="C158" s="177">
        <v>507</v>
      </c>
      <c r="D158" s="179">
        <v>139</v>
      </c>
      <c r="E158" s="183">
        <f t="shared" si="5"/>
        <v>1</v>
      </c>
      <c r="F158" s="179">
        <f t="shared" si="6"/>
        <v>139</v>
      </c>
    </row>
    <row r="159" spans="1:6">
      <c r="A159" s="177">
        <v>142190000</v>
      </c>
      <c r="B159" s="177">
        <v>1421900</v>
      </c>
      <c r="C159" s="177">
        <v>311</v>
      </c>
      <c r="D159" s="179">
        <v>35</v>
      </c>
      <c r="E159" s="183">
        <f t="shared" si="5"/>
        <v>0.8</v>
      </c>
      <c r="F159" s="179">
        <f t="shared" si="6"/>
        <v>28</v>
      </c>
    </row>
    <row r="160" spans="1:6">
      <c r="A160" s="177">
        <v>143290000</v>
      </c>
      <c r="B160" s="177">
        <v>1432900</v>
      </c>
      <c r="C160" s="177">
        <v>401</v>
      </c>
      <c r="D160" s="179">
        <v>49</v>
      </c>
      <c r="E160" s="183">
        <f t="shared" si="5"/>
        <v>0.8</v>
      </c>
      <c r="F160" s="179">
        <f t="shared" si="6"/>
        <v>39.200000000000003</v>
      </c>
    </row>
    <row r="161" spans="1:6">
      <c r="A161" s="177">
        <v>287700000</v>
      </c>
      <c r="B161" s="177">
        <v>1438341</v>
      </c>
      <c r="C161" s="177">
        <v>507</v>
      </c>
      <c r="D161" s="179">
        <v>213</v>
      </c>
      <c r="E161" s="183">
        <f t="shared" si="5"/>
        <v>1</v>
      </c>
      <c r="F161" s="179">
        <f t="shared" si="6"/>
        <v>213</v>
      </c>
    </row>
    <row r="162" spans="1:6">
      <c r="A162" s="177">
        <v>144700000</v>
      </c>
      <c r="B162" s="177">
        <v>1447000</v>
      </c>
      <c r="C162" s="177">
        <v>311</v>
      </c>
      <c r="D162" s="179">
        <v>32</v>
      </c>
      <c r="E162" s="183">
        <f t="shared" si="5"/>
        <v>0.8</v>
      </c>
      <c r="F162" s="179">
        <f t="shared" si="6"/>
        <v>25.6</v>
      </c>
    </row>
    <row r="163" spans="1:6">
      <c r="A163" s="177">
        <v>144870000</v>
      </c>
      <c r="B163" s="177">
        <v>1448700</v>
      </c>
      <c r="C163" s="177">
        <v>507</v>
      </c>
      <c r="D163" s="179">
        <v>160</v>
      </c>
      <c r="E163" s="183">
        <f t="shared" si="5"/>
        <v>1</v>
      </c>
      <c r="F163" s="179">
        <f t="shared" si="6"/>
        <v>160</v>
      </c>
    </row>
    <row r="164" spans="1:6">
      <c r="A164" s="177">
        <v>204490000</v>
      </c>
      <c r="B164" s="177">
        <v>1452804</v>
      </c>
      <c r="C164" s="177">
        <v>321</v>
      </c>
      <c r="D164" s="179">
        <v>59</v>
      </c>
      <c r="E164" s="183">
        <f t="shared" si="5"/>
        <v>0.8</v>
      </c>
      <c r="F164" s="179">
        <f t="shared" si="6"/>
        <v>47.2</v>
      </c>
    </row>
    <row r="165" spans="1:6">
      <c r="A165" s="177">
        <v>145450000</v>
      </c>
      <c r="B165" s="177">
        <v>1454500</v>
      </c>
      <c r="C165" s="177">
        <v>311</v>
      </c>
      <c r="D165" s="179">
        <v>20</v>
      </c>
      <c r="E165" s="183">
        <f t="shared" si="5"/>
        <v>0.8</v>
      </c>
      <c r="F165" s="179">
        <f t="shared" si="6"/>
        <v>16</v>
      </c>
    </row>
    <row r="166" spans="1:6">
      <c r="A166" s="177">
        <v>615900000</v>
      </c>
      <c r="B166" s="177">
        <v>1454500</v>
      </c>
      <c r="C166" s="177">
        <v>312</v>
      </c>
      <c r="D166" s="179">
        <v>11</v>
      </c>
      <c r="E166" s="183">
        <f t="shared" si="5"/>
        <v>0.8</v>
      </c>
      <c r="F166" s="179">
        <f t="shared" si="6"/>
        <v>8.8000000000000007</v>
      </c>
    </row>
    <row r="167" spans="1:6">
      <c r="A167" s="177">
        <v>145610000</v>
      </c>
      <c r="B167" s="177">
        <v>1456100</v>
      </c>
      <c r="C167" s="177">
        <v>401</v>
      </c>
      <c r="D167" s="179">
        <v>5</v>
      </c>
      <c r="E167" s="183">
        <f t="shared" si="5"/>
        <v>0.8</v>
      </c>
      <c r="F167" s="179">
        <f t="shared" si="6"/>
        <v>4</v>
      </c>
    </row>
    <row r="168" spans="1:6">
      <c r="A168" s="177">
        <v>145880000</v>
      </c>
      <c r="B168" s="177">
        <v>1458800</v>
      </c>
      <c r="C168" s="177">
        <v>311</v>
      </c>
      <c r="D168" s="179">
        <v>31</v>
      </c>
      <c r="E168" s="183">
        <f t="shared" si="5"/>
        <v>0.8</v>
      </c>
      <c r="F168" s="179">
        <f t="shared" si="6"/>
        <v>24.8</v>
      </c>
    </row>
    <row r="169" spans="1:6">
      <c r="A169" s="177">
        <v>148180100</v>
      </c>
      <c r="B169" s="177">
        <v>1481801</v>
      </c>
      <c r="C169" s="177">
        <v>507</v>
      </c>
      <c r="D169" s="179">
        <v>352</v>
      </c>
      <c r="E169" s="183">
        <f t="shared" si="5"/>
        <v>1</v>
      </c>
      <c r="F169" s="179">
        <f t="shared" si="6"/>
        <v>352</v>
      </c>
    </row>
    <row r="170" spans="1:6">
      <c r="A170" s="177">
        <v>153900000</v>
      </c>
      <c r="B170" s="177">
        <v>1483500</v>
      </c>
      <c r="C170" s="177">
        <v>313</v>
      </c>
      <c r="D170" s="179">
        <v>500</v>
      </c>
      <c r="E170" s="183">
        <f t="shared" si="5"/>
        <v>1.2</v>
      </c>
      <c r="F170" s="179">
        <f t="shared" si="6"/>
        <v>600</v>
      </c>
    </row>
    <row r="171" spans="1:6">
      <c r="A171" s="177">
        <v>436840000</v>
      </c>
      <c r="B171" s="177">
        <v>1483500</v>
      </c>
      <c r="C171" s="177">
        <v>313</v>
      </c>
      <c r="D171" s="179">
        <v>60</v>
      </c>
      <c r="E171" s="183">
        <f t="shared" si="5"/>
        <v>0.8</v>
      </c>
      <c r="F171" s="179">
        <f t="shared" si="6"/>
        <v>48</v>
      </c>
    </row>
    <row r="172" spans="1:6">
      <c r="A172" s="177">
        <v>970940000</v>
      </c>
      <c r="B172" s="177">
        <v>1483500</v>
      </c>
      <c r="C172" s="177">
        <v>323</v>
      </c>
      <c r="D172" s="179">
        <v>192</v>
      </c>
      <c r="E172" s="183">
        <f t="shared" si="5"/>
        <v>1</v>
      </c>
      <c r="F172" s="179">
        <f t="shared" si="6"/>
        <v>192</v>
      </c>
    </row>
    <row r="173" spans="1:6">
      <c r="A173" s="177">
        <v>970950000</v>
      </c>
      <c r="B173" s="177">
        <v>1483500</v>
      </c>
      <c r="C173" s="177">
        <v>323</v>
      </c>
      <c r="D173" s="179">
        <v>128</v>
      </c>
      <c r="E173" s="183">
        <f t="shared" si="5"/>
        <v>1</v>
      </c>
      <c r="F173" s="179">
        <f t="shared" si="6"/>
        <v>128</v>
      </c>
    </row>
    <row r="174" spans="1:6">
      <c r="A174" s="177">
        <v>970960000</v>
      </c>
      <c r="B174" s="177">
        <v>1483500</v>
      </c>
      <c r="C174" s="177">
        <v>313</v>
      </c>
      <c r="D174" s="179">
        <v>215</v>
      </c>
      <c r="E174" s="183">
        <f t="shared" si="5"/>
        <v>1</v>
      </c>
      <c r="F174" s="179">
        <f t="shared" si="6"/>
        <v>215</v>
      </c>
    </row>
    <row r="175" spans="1:6">
      <c r="A175" s="177">
        <v>970990000</v>
      </c>
      <c r="B175" s="177">
        <v>1483500</v>
      </c>
      <c r="C175" s="177">
        <v>313</v>
      </c>
      <c r="D175" s="179">
        <v>260</v>
      </c>
      <c r="E175" s="183">
        <f t="shared" si="5"/>
        <v>1</v>
      </c>
      <c r="F175" s="179">
        <f t="shared" si="6"/>
        <v>260</v>
      </c>
    </row>
    <row r="176" spans="1:6">
      <c r="A176" s="177">
        <v>970992000</v>
      </c>
      <c r="B176" s="177">
        <v>1483500</v>
      </c>
      <c r="C176" s="177">
        <v>323</v>
      </c>
      <c r="D176" s="179">
        <v>275</v>
      </c>
      <c r="E176" s="183">
        <f t="shared" si="5"/>
        <v>1</v>
      </c>
      <c r="F176" s="179">
        <f t="shared" si="6"/>
        <v>275</v>
      </c>
    </row>
    <row r="177" spans="1:6">
      <c r="A177" s="177">
        <v>970994000</v>
      </c>
      <c r="B177" s="177">
        <v>1483500</v>
      </c>
      <c r="C177" s="177">
        <v>323</v>
      </c>
      <c r="D177" s="179">
        <v>178</v>
      </c>
      <c r="E177" s="183">
        <f t="shared" si="5"/>
        <v>1</v>
      </c>
      <c r="F177" s="179">
        <f t="shared" si="6"/>
        <v>178</v>
      </c>
    </row>
    <row r="178" spans="1:6">
      <c r="A178" s="177">
        <v>970996000</v>
      </c>
      <c r="B178" s="177">
        <v>1483500</v>
      </c>
      <c r="C178" s="177">
        <v>323</v>
      </c>
      <c r="D178" s="179">
        <v>145</v>
      </c>
      <c r="E178" s="183">
        <f t="shared" si="5"/>
        <v>1</v>
      </c>
      <c r="F178" s="179">
        <f t="shared" si="6"/>
        <v>145</v>
      </c>
    </row>
    <row r="179" spans="1:6">
      <c r="A179" s="177">
        <v>994200000</v>
      </c>
      <c r="B179" s="177">
        <v>1483500</v>
      </c>
      <c r="C179" s="177">
        <v>323</v>
      </c>
      <c r="D179" s="179">
        <v>324</v>
      </c>
      <c r="E179" s="183">
        <f t="shared" si="5"/>
        <v>1</v>
      </c>
      <c r="F179" s="179">
        <f t="shared" si="6"/>
        <v>324</v>
      </c>
    </row>
    <row r="180" spans="1:6">
      <c r="A180" s="177">
        <v>148560000</v>
      </c>
      <c r="B180" s="177">
        <v>1485600</v>
      </c>
      <c r="C180" s="177">
        <v>311</v>
      </c>
      <c r="D180" s="179">
        <v>81</v>
      </c>
      <c r="E180" s="183">
        <f t="shared" si="5"/>
        <v>0.8</v>
      </c>
      <c r="F180" s="179">
        <f t="shared" si="6"/>
        <v>64.8</v>
      </c>
    </row>
    <row r="181" spans="1:6">
      <c r="A181" s="177">
        <v>148910000</v>
      </c>
      <c r="B181" s="177">
        <v>1489100</v>
      </c>
      <c r="C181" s="177">
        <v>311</v>
      </c>
      <c r="D181" s="179">
        <v>29</v>
      </c>
      <c r="E181" s="183">
        <f t="shared" si="5"/>
        <v>0.8</v>
      </c>
      <c r="F181" s="179">
        <f t="shared" si="6"/>
        <v>23.200000000000003</v>
      </c>
    </row>
    <row r="182" spans="1:6">
      <c r="A182" s="177">
        <v>150010000</v>
      </c>
      <c r="B182" s="177">
        <v>1500100</v>
      </c>
      <c r="C182" s="177">
        <v>311</v>
      </c>
      <c r="D182" s="179">
        <v>29</v>
      </c>
      <c r="E182" s="183">
        <f t="shared" si="5"/>
        <v>0.8</v>
      </c>
      <c r="F182" s="179">
        <f t="shared" si="6"/>
        <v>23.200000000000003</v>
      </c>
    </row>
    <row r="183" spans="1:6">
      <c r="A183" s="177">
        <v>150580000</v>
      </c>
      <c r="B183" s="177">
        <v>1505800</v>
      </c>
      <c r="C183" s="177">
        <v>311</v>
      </c>
      <c r="D183" s="179">
        <v>25</v>
      </c>
      <c r="E183" s="183">
        <f t="shared" si="5"/>
        <v>0.8</v>
      </c>
      <c r="F183" s="179">
        <f t="shared" si="6"/>
        <v>20</v>
      </c>
    </row>
    <row r="184" spans="1:6">
      <c r="A184" s="177">
        <v>150610000</v>
      </c>
      <c r="B184" s="177">
        <v>1506100</v>
      </c>
      <c r="C184" s="177">
        <v>311</v>
      </c>
      <c r="D184" s="179">
        <v>25</v>
      </c>
      <c r="E184" s="183">
        <f t="shared" si="5"/>
        <v>0.8</v>
      </c>
      <c r="F184" s="179">
        <f t="shared" si="6"/>
        <v>20</v>
      </c>
    </row>
    <row r="185" spans="1:6">
      <c r="A185" s="177">
        <v>150620000</v>
      </c>
      <c r="B185" s="177">
        <v>1506200</v>
      </c>
      <c r="C185" s="177">
        <v>311</v>
      </c>
      <c r="D185" s="179">
        <v>25</v>
      </c>
      <c r="E185" s="183">
        <f t="shared" si="5"/>
        <v>0.8</v>
      </c>
      <c r="F185" s="179">
        <f t="shared" si="6"/>
        <v>20</v>
      </c>
    </row>
    <row r="186" spans="1:6">
      <c r="A186" s="177">
        <v>150640000</v>
      </c>
      <c r="B186" s="177">
        <v>1506400</v>
      </c>
      <c r="C186" s="177">
        <v>311</v>
      </c>
      <c r="D186" s="179">
        <v>25</v>
      </c>
      <c r="E186" s="183">
        <f t="shared" si="5"/>
        <v>0.8</v>
      </c>
      <c r="F186" s="179">
        <f t="shared" si="6"/>
        <v>20</v>
      </c>
    </row>
    <row r="187" spans="1:6">
      <c r="A187" s="177">
        <v>151090000</v>
      </c>
      <c r="B187" s="177">
        <v>1510900</v>
      </c>
      <c r="C187" s="177">
        <v>401</v>
      </c>
      <c r="D187" s="179">
        <v>15</v>
      </c>
      <c r="E187" s="183">
        <f t="shared" si="5"/>
        <v>0.8</v>
      </c>
      <c r="F187" s="179">
        <f t="shared" si="6"/>
        <v>12</v>
      </c>
    </row>
    <row r="188" spans="1:6">
      <c r="A188" s="177">
        <v>151100000</v>
      </c>
      <c r="B188" s="177">
        <v>1511000</v>
      </c>
      <c r="C188" s="177">
        <v>311</v>
      </c>
      <c r="D188" s="179">
        <v>48</v>
      </c>
      <c r="E188" s="183">
        <f t="shared" si="5"/>
        <v>0.8</v>
      </c>
      <c r="F188" s="179">
        <f t="shared" si="6"/>
        <v>38.400000000000006</v>
      </c>
    </row>
    <row r="189" spans="1:6">
      <c r="A189" s="177">
        <v>152240000</v>
      </c>
      <c r="B189" s="177">
        <v>1522400</v>
      </c>
      <c r="C189" s="177">
        <v>311</v>
      </c>
      <c r="D189" s="179">
        <v>44</v>
      </c>
      <c r="E189" s="183">
        <f t="shared" si="5"/>
        <v>0.8</v>
      </c>
      <c r="F189" s="179">
        <f t="shared" si="6"/>
        <v>35.200000000000003</v>
      </c>
    </row>
    <row r="190" spans="1:6">
      <c r="A190" s="177">
        <v>152460000</v>
      </c>
      <c r="B190" s="177">
        <v>1524600</v>
      </c>
      <c r="C190" s="177">
        <v>311</v>
      </c>
      <c r="D190" s="179">
        <v>32</v>
      </c>
      <c r="E190" s="183">
        <f t="shared" si="5"/>
        <v>0.8</v>
      </c>
      <c r="F190" s="179">
        <f t="shared" si="6"/>
        <v>25.6</v>
      </c>
    </row>
    <row r="191" spans="1:6">
      <c r="A191" s="177">
        <v>152470000</v>
      </c>
      <c r="B191" s="177">
        <v>1524700</v>
      </c>
      <c r="C191" s="177">
        <v>311</v>
      </c>
      <c r="D191" s="179">
        <v>38</v>
      </c>
      <c r="E191" s="183">
        <f t="shared" si="5"/>
        <v>0.8</v>
      </c>
      <c r="F191" s="179">
        <f t="shared" si="6"/>
        <v>30.400000000000002</v>
      </c>
    </row>
    <row r="192" spans="1:6">
      <c r="A192" s="177">
        <v>152650000</v>
      </c>
      <c r="B192" s="177">
        <v>1526500</v>
      </c>
      <c r="C192" s="177">
        <v>311</v>
      </c>
      <c r="D192" s="179">
        <v>52</v>
      </c>
      <c r="E192" s="183">
        <f t="shared" si="5"/>
        <v>0.8</v>
      </c>
      <c r="F192" s="179">
        <f t="shared" si="6"/>
        <v>41.6</v>
      </c>
    </row>
    <row r="193" spans="1:6">
      <c r="A193" s="177">
        <v>152840000</v>
      </c>
      <c r="B193" s="177">
        <v>1528400</v>
      </c>
      <c r="C193" s="177">
        <v>401</v>
      </c>
      <c r="D193" s="179">
        <v>35</v>
      </c>
      <c r="E193" s="183">
        <f t="shared" si="5"/>
        <v>0.8</v>
      </c>
      <c r="F193" s="179">
        <f t="shared" si="6"/>
        <v>28</v>
      </c>
    </row>
    <row r="194" spans="1:6">
      <c r="A194" s="177">
        <v>152850000</v>
      </c>
      <c r="B194" s="177">
        <v>1528500</v>
      </c>
      <c r="C194" s="177">
        <v>311</v>
      </c>
      <c r="D194" s="179">
        <v>35</v>
      </c>
      <c r="E194" s="183">
        <f t="shared" si="5"/>
        <v>0.8</v>
      </c>
      <c r="F194" s="179">
        <f t="shared" si="6"/>
        <v>28</v>
      </c>
    </row>
    <row r="195" spans="1:6">
      <c r="A195" s="177">
        <v>101010173</v>
      </c>
      <c r="B195" s="177">
        <v>1539000</v>
      </c>
      <c r="C195" s="177">
        <v>313</v>
      </c>
      <c r="D195" s="179">
        <v>608</v>
      </c>
      <c r="E195" s="183">
        <f t="shared" si="5"/>
        <v>1.2</v>
      </c>
      <c r="F195" s="179">
        <f t="shared" si="6"/>
        <v>729.6</v>
      </c>
    </row>
    <row r="196" spans="1:6">
      <c r="A196" s="177">
        <v>101010174</v>
      </c>
      <c r="B196" s="177">
        <v>1539000</v>
      </c>
      <c r="C196" s="177">
        <v>810</v>
      </c>
      <c r="D196" s="179">
        <v>582</v>
      </c>
      <c r="E196" s="183">
        <f t="shared" si="5"/>
        <v>1.2</v>
      </c>
      <c r="F196" s="179">
        <f t="shared" si="6"/>
        <v>698.4</v>
      </c>
    </row>
    <row r="197" spans="1:6">
      <c r="A197" s="177">
        <v>659710000</v>
      </c>
      <c r="B197" s="177">
        <v>1539000</v>
      </c>
      <c r="C197" s="177">
        <v>313</v>
      </c>
      <c r="D197" s="179">
        <v>1320</v>
      </c>
      <c r="E197" s="183">
        <f t="shared" si="5"/>
        <v>0.8</v>
      </c>
      <c r="F197" s="179">
        <f t="shared" si="6"/>
        <v>1056</v>
      </c>
    </row>
    <row r="198" spans="1:6">
      <c r="A198" s="177">
        <v>154080000</v>
      </c>
      <c r="B198" s="177">
        <v>1540800</v>
      </c>
      <c r="C198" s="177">
        <v>311</v>
      </c>
      <c r="D198" s="179">
        <v>31</v>
      </c>
      <c r="E198" s="183">
        <f t="shared" si="5"/>
        <v>0.8</v>
      </c>
      <c r="F198" s="179">
        <f t="shared" si="6"/>
        <v>24.8</v>
      </c>
    </row>
    <row r="199" spans="1:6">
      <c r="A199" s="177">
        <v>154160100</v>
      </c>
      <c r="B199" s="177">
        <v>1541601</v>
      </c>
      <c r="C199" s="177">
        <v>311</v>
      </c>
      <c r="D199" s="179">
        <v>470</v>
      </c>
      <c r="E199" s="183">
        <f t="shared" si="5"/>
        <v>1</v>
      </c>
      <c r="F199" s="179">
        <f t="shared" si="6"/>
        <v>470</v>
      </c>
    </row>
    <row r="200" spans="1:6">
      <c r="A200" s="177">
        <v>154200000</v>
      </c>
      <c r="B200" s="177">
        <v>1542000</v>
      </c>
      <c r="C200" s="177">
        <v>401</v>
      </c>
      <c r="D200" s="179">
        <v>280</v>
      </c>
      <c r="E200" s="183">
        <f t="shared" si="5"/>
        <v>1</v>
      </c>
      <c r="F200" s="179">
        <f t="shared" si="6"/>
        <v>280</v>
      </c>
    </row>
    <row r="201" spans="1:6">
      <c r="A201" s="177">
        <v>154210000</v>
      </c>
      <c r="B201" s="177">
        <v>1542100</v>
      </c>
      <c r="C201" s="177">
        <v>311</v>
      </c>
      <c r="D201" s="179">
        <v>30</v>
      </c>
      <c r="E201" s="183">
        <f t="shared" si="5"/>
        <v>0.8</v>
      </c>
      <c r="F201" s="179">
        <f t="shared" si="6"/>
        <v>24</v>
      </c>
    </row>
    <row r="202" spans="1:6">
      <c r="A202" s="177">
        <v>154560000</v>
      </c>
      <c r="B202" s="177">
        <v>1545600</v>
      </c>
      <c r="C202" s="177">
        <v>311</v>
      </c>
      <c r="D202" s="179">
        <v>21</v>
      </c>
      <c r="E202" s="183">
        <f t="shared" si="5"/>
        <v>0.8</v>
      </c>
      <c r="F202" s="179">
        <f t="shared" si="6"/>
        <v>16.8</v>
      </c>
    </row>
    <row r="203" spans="1:6">
      <c r="A203" s="177">
        <v>155830000</v>
      </c>
      <c r="B203" s="177">
        <v>1558300</v>
      </c>
      <c r="C203" s="177">
        <v>311</v>
      </c>
      <c r="D203" s="179">
        <v>26</v>
      </c>
      <c r="E203" s="183">
        <f t="shared" ref="E203:E266" si="7">VLOOKUP(D203,$A$3:$C$7,3,TRUE)</f>
        <v>0.8</v>
      </c>
      <c r="F203" s="179">
        <f t="shared" ref="F203:F266" si="8">VLOOKUP(D203,$A$3:$C$7,3,TRUE)*D203</f>
        <v>20.8</v>
      </c>
    </row>
    <row r="204" spans="1:6">
      <c r="A204" s="177">
        <v>155870000</v>
      </c>
      <c r="B204" s="177">
        <v>1558700</v>
      </c>
      <c r="C204" s="177">
        <v>311</v>
      </c>
      <c r="D204" s="179">
        <v>26</v>
      </c>
      <c r="E204" s="183">
        <f t="shared" si="7"/>
        <v>0.8</v>
      </c>
      <c r="F204" s="179">
        <f t="shared" si="8"/>
        <v>20.8</v>
      </c>
    </row>
    <row r="205" spans="1:6">
      <c r="A205" s="177">
        <v>156210000</v>
      </c>
      <c r="B205" s="177">
        <v>1562100</v>
      </c>
      <c r="C205" s="177">
        <v>311</v>
      </c>
      <c r="D205" s="179">
        <v>22</v>
      </c>
      <c r="E205" s="183">
        <f t="shared" si="7"/>
        <v>0.8</v>
      </c>
      <c r="F205" s="179">
        <f t="shared" si="8"/>
        <v>17.600000000000001</v>
      </c>
    </row>
    <row r="206" spans="1:6">
      <c r="A206" s="177">
        <v>156210100</v>
      </c>
      <c r="B206" s="177">
        <v>1562100</v>
      </c>
      <c r="C206" s="177">
        <v>401</v>
      </c>
      <c r="D206" s="179">
        <v>28</v>
      </c>
      <c r="E206" s="183">
        <f t="shared" si="7"/>
        <v>0.8</v>
      </c>
      <c r="F206" s="179">
        <f t="shared" si="8"/>
        <v>22.400000000000002</v>
      </c>
    </row>
    <row r="207" spans="1:6">
      <c r="A207" s="177">
        <v>156300500</v>
      </c>
      <c r="B207" s="177">
        <v>1563005</v>
      </c>
      <c r="C207" s="177">
        <v>507</v>
      </c>
      <c r="D207" s="179">
        <v>99</v>
      </c>
      <c r="E207" s="183">
        <f t="shared" si="7"/>
        <v>0.8</v>
      </c>
      <c r="F207" s="179">
        <f t="shared" si="8"/>
        <v>79.2</v>
      </c>
    </row>
    <row r="208" spans="1:6">
      <c r="A208" s="177">
        <v>156300700</v>
      </c>
      <c r="B208" s="177">
        <v>1563007</v>
      </c>
      <c r="C208" s="177">
        <v>522</v>
      </c>
      <c r="D208" s="179">
        <v>365</v>
      </c>
      <c r="E208" s="183">
        <f t="shared" si="7"/>
        <v>1</v>
      </c>
      <c r="F208" s="179">
        <f t="shared" si="8"/>
        <v>365</v>
      </c>
    </row>
    <row r="209" spans="1:6">
      <c r="A209" s="177">
        <v>703690000</v>
      </c>
      <c r="B209" s="177">
        <v>1563009</v>
      </c>
      <c r="C209" s="177">
        <v>520</v>
      </c>
      <c r="D209" s="179">
        <v>100</v>
      </c>
      <c r="E209" s="183">
        <f t="shared" si="7"/>
        <v>1</v>
      </c>
      <c r="F209" s="179">
        <f t="shared" si="8"/>
        <v>100</v>
      </c>
    </row>
    <row r="210" spans="1:6">
      <c r="A210" s="177">
        <v>156301000</v>
      </c>
      <c r="B210" s="177">
        <v>1563010</v>
      </c>
      <c r="C210" s="177">
        <v>520</v>
      </c>
      <c r="D210" s="179">
        <v>120</v>
      </c>
      <c r="E210" s="183">
        <f t="shared" si="7"/>
        <v>1</v>
      </c>
      <c r="F210" s="179">
        <f t="shared" si="8"/>
        <v>120</v>
      </c>
    </row>
    <row r="211" spans="1:6">
      <c r="A211" s="177">
        <v>156300600</v>
      </c>
      <c r="B211" s="177">
        <v>1563011</v>
      </c>
      <c r="C211" s="177">
        <v>520</v>
      </c>
      <c r="D211" s="179">
        <v>186</v>
      </c>
      <c r="E211" s="183">
        <f t="shared" si="7"/>
        <v>1</v>
      </c>
      <c r="F211" s="179">
        <f t="shared" si="8"/>
        <v>186</v>
      </c>
    </row>
    <row r="212" spans="1:6">
      <c r="A212" s="177">
        <v>156300900</v>
      </c>
      <c r="B212" s="177">
        <v>1563011</v>
      </c>
      <c r="C212" s="177">
        <v>520</v>
      </c>
      <c r="D212" s="179">
        <v>900</v>
      </c>
      <c r="E212" s="183">
        <f t="shared" si="7"/>
        <v>1.2</v>
      </c>
      <c r="F212" s="179">
        <f t="shared" si="8"/>
        <v>1080</v>
      </c>
    </row>
    <row r="213" spans="1:6">
      <c r="A213" s="177">
        <v>156301100</v>
      </c>
      <c r="B213" s="177">
        <v>1563011</v>
      </c>
      <c r="C213" s="177">
        <v>311</v>
      </c>
      <c r="D213" s="179">
        <v>544</v>
      </c>
      <c r="E213" s="183">
        <f t="shared" si="7"/>
        <v>1.2</v>
      </c>
      <c r="F213" s="179">
        <f t="shared" si="8"/>
        <v>652.79999999999995</v>
      </c>
    </row>
    <row r="214" spans="1:6">
      <c r="A214" s="177">
        <v>209450000</v>
      </c>
      <c r="B214" s="177">
        <v>1563011</v>
      </c>
      <c r="C214" s="177">
        <v>520</v>
      </c>
      <c r="D214" s="179">
        <v>410</v>
      </c>
      <c r="E214" s="183">
        <f t="shared" si="7"/>
        <v>1</v>
      </c>
      <c r="F214" s="179">
        <f t="shared" si="8"/>
        <v>410</v>
      </c>
    </row>
    <row r="215" spans="1:6">
      <c r="A215" s="177">
        <v>451170000</v>
      </c>
      <c r="B215" s="177">
        <v>1563011</v>
      </c>
      <c r="C215" s="177">
        <v>520</v>
      </c>
      <c r="D215" s="179">
        <v>100</v>
      </c>
      <c r="E215" s="183">
        <f t="shared" si="7"/>
        <v>1</v>
      </c>
      <c r="F215" s="179">
        <f t="shared" si="8"/>
        <v>100</v>
      </c>
    </row>
    <row r="216" spans="1:6">
      <c r="A216" s="177">
        <v>156650000</v>
      </c>
      <c r="B216" s="177">
        <v>1566500</v>
      </c>
      <c r="C216" s="177">
        <v>401</v>
      </c>
      <c r="D216" s="179">
        <v>35</v>
      </c>
      <c r="E216" s="183">
        <f t="shared" si="7"/>
        <v>0.8</v>
      </c>
      <c r="F216" s="179">
        <f t="shared" si="8"/>
        <v>28</v>
      </c>
    </row>
    <row r="217" spans="1:6">
      <c r="A217" s="177">
        <v>156730000</v>
      </c>
      <c r="B217" s="177">
        <v>1567300</v>
      </c>
      <c r="C217" s="177">
        <v>401</v>
      </c>
      <c r="D217" s="179">
        <v>35</v>
      </c>
      <c r="E217" s="183">
        <f t="shared" si="7"/>
        <v>0.8</v>
      </c>
      <c r="F217" s="179">
        <f t="shared" si="8"/>
        <v>28</v>
      </c>
    </row>
    <row r="218" spans="1:6">
      <c r="A218" s="177">
        <v>157010000</v>
      </c>
      <c r="B218" s="177">
        <v>1570100</v>
      </c>
      <c r="C218" s="177">
        <v>312</v>
      </c>
      <c r="D218" s="179">
        <v>34</v>
      </c>
      <c r="E218" s="183">
        <f t="shared" si="7"/>
        <v>0.8</v>
      </c>
      <c r="F218" s="179">
        <f t="shared" si="8"/>
        <v>27.200000000000003</v>
      </c>
    </row>
    <row r="219" spans="1:6">
      <c r="A219" s="177">
        <v>157330000</v>
      </c>
      <c r="B219" s="177">
        <v>1573300</v>
      </c>
      <c r="C219" s="177">
        <v>311</v>
      </c>
      <c r="D219" s="179">
        <v>99</v>
      </c>
      <c r="E219" s="183">
        <f t="shared" si="7"/>
        <v>0.8</v>
      </c>
      <c r="F219" s="179">
        <f t="shared" si="8"/>
        <v>79.2</v>
      </c>
    </row>
    <row r="220" spans="1:6">
      <c r="A220" s="177">
        <v>373190000</v>
      </c>
      <c r="B220" s="177">
        <v>1573300</v>
      </c>
      <c r="C220" s="177">
        <v>311</v>
      </c>
      <c r="D220" s="179">
        <v>71</v>
      </c>
      <c r="E220" s="183">
        <f t="shared" si="7"/>
        <v>0.8</v>
      </c>
      <c r="F220" s="179">
        <f t="shared" si="8"/>
        <v>56.800000000000004</v>
      </c>
    </row>
    <row r="221" spans="1:6">
      <c r="A221" s="177">
        <v>157430000</v>
      </c>
      <c r="B221" s="177">
        <v>1574300</v>
      </c>
      <c r="C221" s="177">
        <v>311</v>
      </c>
      <c r="D221" s="179">
        <v>49</v>
      </c>
      <c r="E221" s="183">
        <f t="shared" si="7"/>
        <v>0.8</v>
      </c>
      <c r="F221" s="179">
        <f t="shared" si="8"/>
        <v>39.200000000000003</v>
      </c>
    </row>
    <row r="222" spans="1:6">
      <c r="A222" s="177">
        <v>157470000</v>
      </c>
      <c r="B222" s="177">
        <v>1574700</v>
      </c>
      <c r="C222" s="177">
        <v>507</v>
      </c>
      <c r="D222" s="179">
        <v>90</v>
      </c>
      <c r="E222" s="183">
        <f t="shared" si="7"/>
        <v>0.8</v>
      </c>
      <c r="F222" s="179">
        <f t="shared" si="8"/>
        <v>72</v>
      </c>
    </row>
    <row r="223" spans="1:6">
      <c r="A223" s="177">
        <v>157660000</v>
      </c>
      <c r="B223" s="177">
        <v>1576600</v>
      </c>
      <c r="C223" s="177">
        <v>311</v>
      </c>
      <c r="D223" s="179">
        <v>51</v>
      </c>
      <c r="E223" s="183">
        <f t="shared" si="7"/>
        <v>0.8</v>
      </c>
      <c r="F223" s="179">
        <f t="shared" si="8"/>
        <v>40.800000000000004</v>
      </c>
    </row>
    <row r="224" spans="1:6">
      <c r="A224" s="177">
        <v>157760000</v>
      </c>
      <c r="B224" s="177">
        <v>1577600</v>
      </c>
      <c r="C224" s="177">
        <v>311</v>
      </c>
      <c r="D224" s="179">
        <v>28</v>
      </c>
      <c r="E224" s="183">
        <f t="shared" si="7"/>
        <v>0.8</v>
      </c>
      <c r="F224" s="179">
        <f t="shared" si="8"/>
        <v>22.400000000000002</v>
      </c>
    </row>
    <row r="225" spans="1:6">
      <c r="A225" s="177">
        <v>157780000</v>
      </c>
      <c r="B225" s="177">
        <v>1577800</v>
      </c>
      <c r="C225" s="177">
        <v>311</v>
      </c>
      <c r="D225" s="179">
        <v>81</v>
      </c>
      <c r="E225" s="183">
        <f t="shared" si="7"/>
        <v>0.8</v>
      </c>
      <c r="F225" s="179">
        <f t="shared" si="8"/>
        <v>64.8</v>
      </c>
    </row>
    <row r="226" spans="1:6">
      <c r="A226" s="177">
        <v>363220000</v>
      </c>
      <c r="B226" s="177">
        <v>1648997</v>
      </c>
      <c r="C226" s="177">
        <v>311</v>
      </c>
      <c r="D226" s="179">
        <v>89</v>
      </c>
      <c r="E226" s="183">
        <f t="shared" si="7"/>
        <v>0.8</v>
      </c>
      <c r="F226" s="179">
        <f t="shared" si="8"/>
        <v>71.2</v>
      </c>
    </row>
    <row r="227" spans="1:6">
      <c r="A227" s="177">
        <v>534020001</v>
      </c>
      <c r="B227" s="177">
        <v>1660628</v>
      </c>
      <c r="C227" s="177">
        <v>311</v>
      </c>
      <c r="D227" s="179">
        <v>40</v>
      </c>
      <c r="E227" s="183">
        <f t="shared" si="7"/>
        <v>0.8</v>
      </c>
      <c r="F227" s="179">
        <f t="shared" si="8"/>
        <v>32</v>
      </c>
    </row>
    <row r="228" spans="1:6">
      <c r="A228" s="177">
        <v>170380000</v>
      </c>
      <c r="B228" s="177">
        <v>1703800</v>
      </c>
      <c r="C228" s="177">
        <v>315</v>
      </c>
      <c r="D228" s="179">
        <v>10</v>
      </c>
      <c r="E228" s="183">
        <f t="shared" si="7"/>
        <v>0.8</v>
      </c>
      <c r="F228" s="179">
        <f t="shared" si="8"/>
        <v>8</v>
      </c>
    </row>
    <row r="229" spans="1:6">
      <c r="A229" s="177">
        <v>170440000</v>
      </c>
      <c r="B229" s="177">
        <v>1704400</v>
      </c>
      <c r="C229" s="177">
        <v>415</v>
      </c>
      <c r="D229" s="179">
        <v>10</v>
      </c>
      <c r="E229" s="183">
        <f t="shared" si="7"/>
        <v>0.8</v>
      </c>
      <c r="F229" s="179">
        <f t="shared" si="8"/>
        <v>8</v>
      </c>
    </row>
    <row r="230" spans="1:6">
      <c r="A230" s="177">
        <v>170520000</v>
      </c>
      <c r="B230" s="177">
        <v>1705200</v>
      </c>
      <c r="C230" s="177">
        <v>315</v>
      </c>
      <c r="D230" s="179">
        <v>10</v>
      </c>
      <c r="E230" s="183">
        <f t="shared" si="7"/>
        <v>0.8</v>
      </c>
      <c r="F230" s="179">
        <f t="shared" si="8"/>
        <v>8</v>
      </c>
    </row>
    <row r="231" spans="1:6">
      <c r="A231" s="177">
        <v>170550000</v>
      </c>
      <c r="B231" s="177">
        <v>1705500</v>
      </c>
      <c r="C231" s="177">
        <v>401</v>
      </c>
      <c r="D231" s="179">
        <v>10</v>
      </c>
      <c r="E231" s="183">
        <f t="shared" si="7"/>
        <v>0.8</v>
      </c>
      <c r="F231" s="179">
        <f t="shared" si="8"/>
        <v>8</v>
      </c>
    </row>
    <row r="232" spans="1:6">
      <c r="A232" s="177">
        <v>170850000</v>
      </c>
      <c r="B232" s="177">
        <v>1708500</v>
      </c>
      <c r="C232" s="177">
        <v>311</v>
      </c>
      <c r="D232" s="179">
        <v>10</v>
      </c>
      <c r="E232" s="183">
        <f t="shared" si="7"/>
        <v>0.8</v>
      </c>
      <c r="F232" s="179">
        <f t="shared" si="8"/>
        <v>8</v>
      </c>
    </row>
    <row r="233" spans="1:6">
      <c r="A233" s="177">
        <v>171180000</v>
      </c>
      <c r="B233" s="177">
        <v>1711800</v>
      </c>
      <c r="C233" s="177">
        <v>315</v>
      </c>
      <c r="D233" s="179">
        <v>75</v>
      </c>
      <c r="E233" s="183">
        <f t="shared" si="7"/>
        <v>0.8</v>
      </c>
      <c r="F233" s="179">
        <f t="shared" si="8"/>
        <v>60</v>
      </c>
    </row>
    <row r="234" spans="1:6">
      <c r="A234" s="177">
        <v>171210000</v>
      </c>
      <c r="B234" s="177">
        <v>1712100</v>
      </c>
      <c r="C234" s="177">
        <v>401</v>
      </c>
      <c r="D234" s="179">
        <v>21</v>
      </c>
      <c r="E234" s="183">
        <f t="shared" si="7"/>
        <v>0.8</v>
      </c>
      <c r="F234" s="179">
        <f t="shared" si="8"/>
        <v>16.8</v>
      </c>
    </row>
    <row r="235" spans="1:6">
      <c r="A235" s="177">
        <v>171280100</v>
      </c>
      <c r="B235" s="177">
        <v>1712801</v>
      </c>
      <c r="C235" s="177">
        <v>311</v>
      </c>
      <c r="D235" s="179">
        <v>45</v>
      </c>
      <c r="E235" s="183">
        <f t="shared" si="7"/>
        <v>0.8</v>
      </c>
      <c r="F235" s="179">
        <f t="shared" si="8"/>
        <v>36</v>
      </c>
    </row>
    <row r="236" spans="1:6">
      <c r="A236" s="177">
        <v>171340000</v>
      </c>
      <c r="B236" s="177">
        <v>1713400</v>
      </c>
      <c r="C236" s="177">
        <v>312</v>
      </c>
      <c r="D236" s="179">
        <v>20</v>
      </c>
      <c r="E236" s="183">
        <f t="shared" si="7"/>
        <v>0.8</v>
      </c>
      <c r="F236" s="179">
        <f t="shared" si="8"/>
        <v>16</v>
      </c>
    </row>
    <row r="237" spans="1:6">
      <c r="A237" s="177">
        <v>171390000</v>
      </c>
      <c r="B237" s="177">
        <v>1713900</v>
      </c>
      <c r="C237" s="177">
        <v>311</v>
      </c>
      <c r="D237" s="179">
        <v>28</v>
      </c>
      <c r="E237" s="183">
        <f t="shared" si="7"/>
        <v>0.8</v>
      </c>
      <c r="F237" s="179">
        <f t="shared" si="8"/>
        <v>22.400000000000002</v>
      </c>
    </row>
    <row r="238" spans="1:6">
      <c r="A238" s="177">
        <v>171580000</v>
      </c>
      <c r="B238" s="177">
        <v>1715800</v>
      </c>
      <c r="C238" s="177">
        <v>401</v>
      </c>
      <c r="D238" s="179">
        <v>10</v>
      </c>
      <c r="E238" s="183">
        <f t="shared" si="7"/>
        <v>0.8</v>
      </c>
      <c r="F238" s="179">
        <f t="shared" si="8"/>
        <v>8</v>
      </c>
    </row>
    <row r="239" spans="1:6">
      <c r="A239" s="177">
        <v>152440000</v>
      </c>
      <c r="B239" s="177">
        <v>1717214</v>
      </c>
      <c r="C239" s="177">
        <v>312</v>
      </c>
      <c r="D239" s="179">
        <v>50</v>
      </c>
      <c r="E239" s="183">
        <f t="shared" si="7"/>
        <v>0.8</v>
      </c>
      <c r="F239" s="179">
        <f t="shared" si="8"/>
        <v>40</v>
      </c>
    </row>
    <row r="240" spans="1:6">
      <c r="A240" s="177">
        <v>155900100</v>
      </c>
      <c r="B240" s="177">
        <v>1717214</v>
      </c>
      <c r="C240" s="177">
        <v>311</v>
      </c>
      <c r="D240" s="179">
        <v>117</v>
      </c>
      <c r="E240" s="183">
        <f t="shared" si="7"/>
        <v>1</v>
      </c>
      <c r="F240" s="179">
        <f t="shared" si="8"/>
        <v>117</v>
      </c>
    </row>
    <row r="241" spans="1:6">
      <c r="A241" s="177">
        <v>172480000</v>
      </c>
      <c r="B241" s="177">
        <v>1724800</v>
      </c>
      <c r="C241" s="177">
        <v>507</v>
      </c>
      <c r="D241" s="179">
        <v>55</v>
      </c>
      <c r="E241" s="183">
        <f t="shared" si="7"/>
        <v>0.8</v>
      </c>
      <c r="F241" s="179">
        <f t="shared" si="8"/>
        <v>44</v>
      </c>
    </row>
    <row r="242" spans="1:6">
      <c r="A242" s="177">
        <v>647910000</v>
      </c>
      <c r="B242" s="177">
        <v>1757822</v>
      </c>
      <c r="C242" s="177">
        <v>390</v>
      </c>
      <c r="D242" s="179">
        <v>184</v>
      </c>
      <c r="E242" s="183">
        <f t="shared" si="7"/>
        <v>1</v>
      </c>
      <c r="F242" s="179">
        <f t="shared" si="8"/>
        <v>184</v>
      </c>
    </row>
    <row r="243" spans="1:6">
      <c r="A243" s="177">
        <v>177450100</v>
      </c>
      <c r="B243" s="177">
        <v>1774501</v>
      </c>
      <c r="C243" s="177">
        <v>401</v>
      </c>
      <c r="D243" s="179">
        <v>40</v>
      </c>
      <c r="E243" s="183">
        <f t="shared" si="7"/>
        <v>0.8</v>
      </c>
      <c r="F243" s="179">
        <f t="shared" si="8"/>
        <v>32</v>
      </c>
    </row>
    <row r="244" spans="1:6">
      <c r="A244" s="177">
        <v>178840000</v>
      </c>
      <c r="B244" s="177">
        <v>1788400</v>
      </c>
      <c r="C244" s="177">
        <v>311</v>
      </c>
      <c r="D244" s="179">
        <v>32</v>
      </c>
      <c r="E244" s="183">
        <f t="shared" si="7"/>
        <v>0.8</v>
      </c>
      <c r="F244" s="179">
        <f t="shared" si="8"/>
        <v>25.6</v>
      </c>
    </row>
    <row r="245" spans="1:6">
      <c r="A245" s="177">
        <v>178850100</v>
      </c>
      <c r="B245" s="177">
        <v>1788501</v>
      </c>
      <c r="C245" s="177">
        <v>801</v>
      </c>
      <c r="D245" s="179">
        <v>632</v>
      </c>
      <c r="E245" s="183">
        <f t="shared" si="7"/>
        <v>1.2</v>
      </c>
      <c r="F245" s="179">
        <f t="shared" si="8"/>
        <v>758.4</v>
      </c>
    </row>
    <row r="246" spans="1:6">
      <c r="A246" s="177">
        <v>597030000</v>
      </c>
      <c r="B246" s="177">
        <v>1790112</v>
      </c>
      <c r="C246" s="177">
        <v>809</v>
      </c>
      <c r="D246" s="179">
        <v>4</v>
      </c>
      <c r="E246" s="183">
        <f t="shared" si="7"/>
        <v>0.8</v>
      </c>
      <c r="F246" s="179">
        <f t="shared" si="8"/>
        <v>3.2</v>
      </c>
    </row>
    <row r="247" spans="1:6">
      <c r="A247" s="177">
        <v>179290100</v>
      </c>
      <c r="B247" s="177">
        <v>1792700</v>
      </c>
      <c r="C247" s="177">
        <v>311</v>
      </c>
      <c r="D247" s="179">
        <v>12</v>
      </c>
      <c r="E247" s="183">
        <f t="shared" si="7"/>
        <v>0.8</v>
      </c>
      <c r="F247" s="179">
        <f t="shared" si="8"/>
        <v>9.6000000000000014</v>
      </c>
    </row>
    <row r="248" spans="1:6">
      <c r="A248" s="177">
        <v>179600000</v>
      </c>
      <c r="B248" s="177">
        <v>1796000</v>
      </c>
      <c r="C248" s="177">
        <v>311</v>
      </c>
      <c r="D248" s="179">
        <v>76</v>
      </c>
      <c r="E248" s="183">
        <f t="shared" si="7"/>
        <v>0.8</v>
      </c>
      <c r="F248" s="179">
        <f t="shared" si="8"/>
        <v>60.800000000000004</v>
      </c>
    </row>
    <row r="249" spans="1:6">
      <c r="A249" s="177">
        <v>179910000</v>
      </c>
      <c r="B249" s="177">
        <v>1799100</v>
      </c>
      <c r="C249" s="177">
        <v>311</v>
      </c>
      <c r="D249" s="179">
        <v>242</v>
      </c>
      <c r="E249" s="183">
        <f t="shared" si="7"/>
        <v>1</v>
      </c>
      <c r="F249" s="179">
        <f t="shared" si="8"/>
        <v>242</v>
      </c>
    </row>
    <row r="250" spans="1:6">
      <c r="A250" s="177">
        <v>180920000</v>
      </c>
      <c r="B250" s="177">
        <v>1809200</v>
      </c>
      <c r="C250" s="177">
        <v>311</v>
      </c>
      <c r="D250" s="179">
        <v>348</v>
      </c>
      <c r="E250" s="183">
        <f t="shared" si="7"/>
        <v>1</v>
      </c>
      <c r="F250" s="179">
        <f t="shared" si="8"/>
        <v>348</v>
      </c>
    </row>
    <row r="251" spans="1:6">
      <c r="A251" s="177">
        <v>181810000</v>
      </c>
      <c r="B251" s="177">
        <v>1818100</v>
      </c>
      <c r="C251" s="177">
        <v>311</v>
      </c>
      <c r="D251" s="179">
        <v>15</v>
      </c>
      <c r="E251" s="183">
        <f t="shared" si="7"/>
        <v>0.8</v>
      </c>
      <c r="F251" s="179">
        <f t="shared" si="8"/>
        <v>12</v>
      </c>
    </row>
    <row r="252" spans="1:6">
      <c r="A252" s="177">
        <v>181850000</v>
      </c>
      <c r="B252" s="177">
        <v>1818500</v>
      </c>
      <c r="C252" s="177">
        <v>311</v>
      </c>
      <c r="D252" s="179">
        <v>43</v>
      </c>
      <c r="E252" s="183">
        <f t="shared" si="7"/>
        <v>0.8</v>
      </c>
      <c r="F252" s="179">
        <f t="shared" si="8"/>
        <v>34.4</v>
      </c>
    </row>
    <row r="253" spans="1:6">
      <c r="A253" s="177">
        <v>185040200</v>
      </c>
      <c r="B253" s="177">
        <v>1850402</v>
      </c>
      <c r="C253" s="177">
        <v>401</v>
      </c>
      <c r="D253" s="179">
        <v>97</v>
      </c>
      <c r="E253" s="183">
        <f t="shared" si="7"/>
        <v>0.8</v>
      </c>
      <c r="F253" s="179">
        <f t="shared" si="8"/>
        <v>77.600000000000009</v>
      </c>
    </row>
    <row r="254" spans="1:6">
      <c r="A254" s="177">
        <v>863500000</v>
      </c>
      <c r="B254" s="177">
        <v>1862300</v>
      </c>
      <c r="C254" s="177">
        <v>801</v>
      </c>
      <c r="D254" s="179">
        <v>765</v>
      </c>
      <c r="E254" s="183">
        <f t="shared" si="7"/>
        <v>1.2</v>
      </c>
      <c r="F254" s="179">
        <f t="shared" si="8"/>
        <v>918</v>
      </c>
    </row>
    <row r="255" spans="1:6">
      <c r="A255" s="177">
        <v>186340000</v>
      </c>
      <c r="B255" s="177">
        <v>1863400</v>
      </c>
      <c r="C255" s="177">
        <v>311</v>
      </c>
      <c r="D255" s="179">
        <v>41</v>
      </c>
      <c r="E255" s="183">
        <f t="shared" si="7"/>
        <v>0.8</v>
      </c>
      <c r="F255" s="179">
        <f t="shared" si="8"/>
        <v>32.800000000000004</v>
      </c>
    </row>
    <row r="256" spans="1:6">
      <c r="A256" s="177">
        <v>186340100</v>
      </c>
      <c r="B256" s="177">
        <v>1863400</v>
      </c>
      <c r="C256" s="177">
        <v>401</v>
      </c>
      <c r="D256" s="179">
        <v>19</v>
      </c>
      <c r="E256" s="183">
        <f t="shared" si="7"/>
        <v>0.8</v>
      </c>
      <c r="F256" s="179">
        <f t="shared" si="8"/>
        <v>15.200000000000001</v>
      </c>
    </row>
    <row r="257" spans="1:6">
      <c r="A257" s="177">
        <v>186810000</v>
      </c>
      <c r="B257" s="177">
        <v>1868100</v>
      </c>
      <c r="C257" s="177">
        <v>311</v>
      </c>
      <c r="D257" s="179">
        <v>65</v>
      </c>
      <c r="E257" s="183">
        <f t="shared" si="7"/>
        <v>0.8</v>
      </c>
      <c r="F257" s="179">
        <f t="shared" si="8"/>
        <v>52</v>
      </c>
    </row>
    <row r="258" spans="1:6">
      <c r="A258" s="177">
        <v>187480100</v>
      </c>
      <c r="B258" s="177">
        <v>1874801</v>
      </c>
      <c r="C258" s="177">
        <v>507</v>
      </c>
      <c r="D258" s="179">
        <v>23</v>
      </c>
      <c r="E258" s="183">
        <f t="shared" si="7"/>
        <v>0.8</v>
      </c>
      <c r="F258" s="179">
        <f t="shared" si="8"/>
        <v>18.400000000000002</v>
      </c>
    </row>
    <row r="259" spans="1:6">
      <c r="A259" s="177">
        <v>187810000</v>
      </c>
      <c r="B259" s="177">
        <v>1878100</v>
      </c>
      <c r="C259" s="177">
        <v>522</v>
      </c>
      <c r="D259" s="179">
        <v>350</v>
      </c>
      <c r="E259" s="183">
        <f t="shared" si="7"/>
        <v>1</v>
      </c>
      <c r="F259" s="179">
        <f t="shared" si="8"/>
        <v>350</v>
      </c>
    </row>
    <row r="260" spans="1:6">
      <c r="A260" s="177">
        <v>188210000</v>
      </c>
      <c r="B260" s="177">
        <v>1882100</v>
      </c>
      <c r="C260" s="177">
        <v>401</v>
      </c>
      <c r="D260" s="179">
        <v>36</v>
      </c>
      <c r="E260" s="183">
        <f t="shared" si="7"/>
        <v>0.8</v>
      </c>
      <c r="F260" s="179">
        <f t="shared" si="8"/>
        <v>28.8</v>
      </c>
    </row>
    <row r="261" spans="1:6">
      <c r="A261" s="177">
        <v>188220000</v>
      </c>
      <c r="B261" s="177">
        <v>1882200</v>
      </c>
      <c r="C261" s="177">
        <v>311</v>
      </c>
      <c r="D261" s="179">
        <v>21</v>
      </c>
      <c r="E261" s="183">
        <f t="shared" si="7"/>
        <v>0.8</v>
      </c>
      <c r="F261" s="179">
        <f t="shared" si="8"/>
        <v>16.8</v>
      </c>
    </row>
    <row r="262" spans="1:6">
      <c r="A262" s="177">
        <v>188410000</v>
      </c>
      <c r="B262" s="177">
        <v>1884100</v>
      </c>
      <c r="C262" s="177">
        <v>311</v>
      </c>
      <c r="D262" s="179">
        <v>33</v>
      </c>
      <c r="E262" s="183">
        <f t="shared" si="7"/>
        <v>0.8</v>
      </c>
      <c r="F262" s="179">
        <f t="shared" si="8"/>
        <v>26.400000000000002</v>
      </c>
    </row>
    <row r="263" spans="1:6">
      <c r="A263" s="177">
        <v>868230000</v>
      </c>
      <c r="B263" s="177">
        <v>1904501</v>
      </c>
      <c r="C263" s="177">
        <v>313</v>
      </c>
      <c r="D263" s="179">
        <v>5052</v>
      </c>
      <c r="E263" s="183">
        <f t="shared" si="7"/>
        <v>0.6</v>
      </c>
      <c r="F263" s="179">
        <f t="shared" si="8"/>
        <v>3031.2</v>
      </c>
    </row>
    <row r="264" spans="1:6">
      <c r="A264" s="177">
        <v>868240000</v>
      </c>
      <c r="B264" s="177">
        <v>1904501</v>
      </c>
      <c r="C264" s="177">
        <v>810</v>
      </c>
      <c r="D264" s="179">
        <v>4115</v>
      </c>
      <c r="E264" s="183">
        <f t="shared" si="7"/>
        <v>0.8</v>
      </c>
      <c r="F264" s="179">
        <f t="shared" si="8"/>
        <v>3292</v>
      </c>
    </row>
    <row r="265" spans="1:6">
      <c r="A265" s="177">
        <v>804210000</v>
      </c>
      <c r="B265" s="177">
        <v>1933100</v>
      </c>
      <c r="C265" s="177">
        <v>313</v>
      </c>
      <c r="D265" s="179">
        <v>840</v>
      </c>
      <c r="E265" s="183">
        <f t="shared" si="7"/>
        <v>1.2</v>
      </c>
      <c r="F265" s="179">
        <f t="shared" si="8"/>
        <v>1008</v>
      </c>
    </row>
    <row r="266" spans="1:6">
      <c r="A266" s="177">
        <v>155510100</v>
      </c>
      <c r="B266" s="177">
        <v>1960426</v>
      </c>
      <c r="C266" s="177">
        <v>401</v>
      </c>
      <c r="D266" s="179">
        <v>95</v>
      </c>
      <c r="E266" s="183">
        <f t="shared" si="7"/>
        <v>0.8</v>
      </c>
      <c r="F266" s="179">
        <f t="shared" si="8"/>
        <v>76</v>
      </c>
    </row>
    <row r="267" spans="1:6">
      <c r="A267" s="177">
        <v>196830000</v>
      </c>
      <c r="B267" s="177">
        <v>1968300</v>
      </c>
      <c r="C267" s="177">
        <v>311</v>
      </c>
      <c r="D267" s="179">
        <v>55</v>
      </c>
      <c r="E267" s="183">
        <f t="shared" ref="E267:E330" si="9">VLOOKUP(D267,$A$3:$C$7,3,TRUE)</f>
        <v>0.8</v>
      </c>
      <c r="F267" s="179">
        <f t="shared" ref="F267:F330" si="10">VLOOKUP(D267,$A$3:$C$7,3,TRUE)*D267</f>
        <v>44</v>
      </c>
    </row>
    <row r="268" spans="1:6">
      <c r="A268" s="177">
        <v>196970000</v>
      </c>
      <c r="B268" s="177">
        <v>1969700</v>
      </c>
      <c r="C268" s="177">
        <v>315</v>
      </c>
      <c r="D268" s="179">
        <v>2185</v>
      </c>
      <c r="E268" s="183">
        <f t="shared" si="9"/>
        <v>0.8</v>
      </c>
      <c r="F268" s="179">
        <f t="shared" si="10"/>
        <v>1748</v>
      </c>
    </row>
    <row r="269" spans="1:6">
      <c r="A269" s="177">
        <v>198490000</v>
      </c>
      <c r="B269" s="177">
        <v>1984900</v>
      </c>
      <c r="C269" s="177">
        <v>904</v>
      </c>
      <c r="D269" s="179">
        <v>8630</v>
      </c>
      <c r="E269" s="183">
        <f t="shared" si="9"/>
        <v>0.6</v>
      </c>
      <c r="F269" s="179">
        <f t="shared" si="10"/>
        <v>5178</v>
      </c>
    </row>
    <row r="270" spans="1:6">
      <c r="A270" s="177">
        <v>643320000</v>
      </c>
      <c r="B270" s="177">
        <v>1996651</v>
      </c>
      <c r="C270" s="177">
        <v>311</v>
      </c>
      <c r="D270" s="179">
        <v>35</v>
      </c>
      <c r="E270" s="183">
        <f t="shared" si="9"/>
        <v>0.8</v>
      </c>
      <c r="F270" s="179">
        <f t="shared" si="10"/>
        <v>28</v>
      </c>
    </row>
    <row r="271" spans="1:6">
      <c r="A271" s="177">
        <v>207230000</v>
      </c>
      <c r="B271" s="177">
        <v>2072300</v>
      </c>
      <c r="C271" s="177">
        <v>507</v>
      </c>
      <c r="D271" s="179">
        <v>65</v>
      </c>
      <c r="E271" s="183">
        <f t="shared" si="9"/>
        <v>0.8</v>
      </c>
      <c r="F271" s="179">
        <f t="shared" si="10"/>
        <v>52</v>
      </c>
    </row>
    <row r="272" spans="1:6">
      <c r="A272" s="177">
        <v>208150000</v>
      </c>
      <c r="B272" s="177">
        <v>2072300</v>
      </c>
      <c r="C272" s="177">
        <v>507</v>
      </c>
      <c r="D272" s="179">
        <v>43</v>
      </c>
      <c r="E272" s="183">
        <f t="shared" si="9"/>
        <v>0.8</v>
      </c>
      <c r="F272" s="179">
        <f t="shared" si="10"/>
        <v>34.4</v>
      </c>
    </row>
    <row r="273" spans="1:6">
      <c r="A273" s="177">
        <v>207240000</v>
      </c>
      <c r="B273" s="177">
        <v>2072400</v>
      </c>
      <c r="C273" s="177">
        <v>507</v>
      </c>
      <c r="D273" s="179">
        <v>162</v>
      </c>
      <c r="E273" s="183">
        <f t="shared" si="9"/>
        <v>1</v>
      </c>
      <c r="F273" s="179">
        <f t="shared" si="10"/>
        <v>162</v>
      </c>
    </row>
    <row r="274" spans="1:6">
      <c r="A274" s="177">
        <v>207240100</v>
      </c>
      <c r="B274" s="177">
        <v>2072400</v>
      </c>
      <c r="C274" s="177">
        <v>507</v>
      </c>
      <c r="D274" s="179">
        <v>262</v>
      </c>
      <c r="E274" s="183">
        <f t="shared" si="9"/>
        <v>1</v>
      </c>
      <c r="F274" s="179">
        <f t="shared" si="10"/>
        <v>262</v>
      </c>
    </row>
    <row r="275" spans="1:6">
      <c r="A275" s="177">
        <v>208490000</v>
      </c>
      <c r="B275" s="177">
        <v>2084900</v>
      </c>
      <c r="C275" s="177">
        <v>507</v>
      </c>
      <c r="D275" s="179">
        <v>70</v>
      </c>
      <c r="E275" s="183">
        <f t="shared" si="9"/>
        <v>0.8</v>
      </c>
      <c r="F275" s="179">
        <f t="shared" si="10"/>
        <v>56</v>
      </c>
    </row>
    <row r="276" spans="1:6">
      <c r="A276" s="177">
        <v>157640000</v>
      </c>
      <c r="B276" s="177">
        <v>2086015</v>
      </c>
      <c r="C276" s="177">
        <v>401</v>
      </c>
      <c r="D276" s="179">
        <v>47</v>
      </c>
      <c r="E276" s="183">
        <f t="shared" si="9"/>
        <v>0.8</v>
      </c>
      <c r="F276" s="179">
        <f t="shared" si="10"/>
        <v>37.6</v>
      </c>
    </row>
    <row r="277" spans="1:6">
      <c r="A277" s="177">
        <v>212950000</v>
      </c>
      <c r="B277" s="177">
        <v>2129500</v>
      </c>
      <c r="C277" s="177">
        <v>315</v>
      </c>
      <c r="D277" s="179">
        <v>24</v>
      </c>
      <c r="E277" s="183">
        <f t="shared" si="9"/>
        <v>0.8</v>
      </c>
      <c r="F277" s="179">
        <f t="shared" si="10"/>
        <v>19.200000000000003</v>
      </c>
    </row>
    <row r="278" spans="1:6">
      <c r="A278" s="177">
        <v>213520000</v>
      </c>
      <c r="B278" s="177">
        <v>2135200</v>
      </c>
      <c r="C278" s="177">
        <v>507</v>
      </c>
      <c r="D278" s="179">
        <v>175</v>
      </c>
      <c r="E278" s="183">
        <f t="shared" si="9"/>
        <v>1</v>
      </c>
      <c r="F278" s="179">
        <f t="shared" si="10"/>
        <v>175</v>
      </c>
    </row>
    <row r="279" spans="1:6">
      <c r="A279" s="177">
        <v>216110000</v>
      </c>
      <c r="B279" s="177">
        <v>2161100</v>
      </c>
      <c r="C279" s="177">
        <v>507</v>
      </c>
      <c r="D279" s="179">
        <v>48</v>
      </c>
      <c r="E279" s="183">
        <f t="shared" si="9"/>
        <v>0.8</v>
      </c>
      <c r="F279" s="179">
        <f t="shared" si="10"/>
        <v>38.400000000000006</v>
      </c>
    </row>
    <row r="280" spans="1:6">
      <c r="A280" s="177">
        <v>294450200</v>
      </c>
      <c r="B280" s="177">
        <v>2254265</v>
      </c>
      <c r="C280" s="177">
        <v>311</v>
      </c>
      <c r="D280" s="179">
        <v>9</v>
      </c>
      <c r="E280" s="183">
        <f t="shared" si="9"/>
        <v>0.8</v>
      </c>
      <c r="F280" s="179">
        <f t="shared" si="10"/>
        <v>7.2</v>
      </c>
    </row>
    <row r="281" spans="1:6">
      <c r="A281" s="177">
        <v>213460000</v>
      </c>
      <c r="B281" s="177">
        <v>2269520</v>
      </c>
      <c r="C281" s="177">
        <v>882</v>
      </c>
      <c r="D281" s="179">
        <v>210</v>
      </c>
      <c r="E281" s="183">
        <f t="shared" si="9"/>
        <v>1</v>
      </c>
      <c r="F281" s="179">
        <f t="shared" si="10"/>
        <v>210</v>
      </c>
    </row>
    <row r="282" spans="1:6">
      <c r="A282" s="177">
        <v>213480000</v>
      </c>
      <c r="B282" s="177">
        <v>2269520</v>
      </c>
      <c r="C282" s="177">
        <v>882</v>
      </c>
      <c r="D282" s="179">
        <v>345</v>
      </c>
      <c r="E282" s="183">
        <f t="shared" si="9"/>
        <v>1</v>
      </c>
      <c r="F282" s="179">
        <f t="shared" si="10"/>
        <v>345</v>
      </c>
    </row>
    <row r="283" spans="1:6">
      <c r="A283" s="177">
        <v>400189400</v>
      </c>
      <c r="B283" s="177">
        <v>2274001</v>
      </c>
      <c r="C283" s="177">
        <v>661</v>
      </c>
      <c r="D283" s="179">
        <v>500</v>
      </c>
      <c r="E283" s="183">
        <f t="shared" si="9"/>
        <v>1.2</v>
      </c>
      <c r="F283" s="179">
        <f t="shared" si="10"/>
        <v>600</v>
      </c>
    </row>
    <row r="284" spans="1:6">
      <c r="A284" s="177">
        <v>670270000</v>
      </c>
      <c r="B284" s="177">
        <v>2281038</v>
      </c>
      <c r="C284" s="177">
        <v>390</v>
      </c>
      <c r="D284" s="179">
        <v>483</v>
      </c>
      <c r="E284" s="183">
        <f t="shared" si="9"/>
        <v>1</v>
      </c>
      <c r="F284" s="179">
        <f t="shared" si="10"/>
        <v>483</v>
      </c>
    </row>
    <row r="285" spans="1:6">
      <c r="A285" s="177">
        <v>230180000</v>
      </c>
      <c r="B285" s="177">
        <v>2301800</v>
      </c>
      <c r="C285" s="177">
        <v>311</v>
      </c>
      <c r="D285" s="179">
        <v>3</v>
      </c>
      <c r="E285" s="183">
        <f t="shared" si="9"/>
        <v>0.8</v>
      </c>
      <c r="F285" s="179">
        <f t="shared" si="10"/>
        <v>2.4000000000000004</v>
      </c>
    </row>
    <row r="286" spans="1:6">
      <c r="A286" s="177">
        <v>230502200</v>
      </c>
      <c r="B286" s="177">
        <v>2305022</v>
      </c>
      <c r="C286" s="177">
        <v>311</v>
      </c>
      <c r="D286" s="179">
        <v>63</v>
      </c>
      <c r="E286" s="183">
        <f t="shared" si="9"/>
        <v>0.8</v>
      </c>
      <c r="F286" s="179">
        <f t="shared" si="10"/>
        <v>50.400000000000006</v>
      </c>
    </row>
    <row r="287" spans="1:6">
      <c r="A287" s="177">
        <v>230591700</v>
      </c>
      <c r="B287" s="177">
        <v>2305917</v>
      </c>
      <c r="C287" s="177">
        <v>507</v>
      </c>
      <c r="D287" s="179">
        <v>144</v>
      </c>
      <c r="E287" s="183">
        <f t="shared" si="9"/>
        <v>1</v>
      </c>
      <c r="F287" s="179">
        <f t="shared" si="10"/>
        <v>144</v>
      </c>
    </row>
    <row r="288" spans="1:6">
      <c r="A288" s="177">
        <v>230596100</v>
      </c>
      <c r="B288" s="177">
        <v>2305961</v>
      </c>
      <c r="C288" s="177">
        <v>507</v>
      </c>
      <c r="D288" s="179">
        <v>35</v>
      </c>
      <c r="E288" s="183">
        <f t="shared" si="9"/>
        <v>0.8</v>
      </c>
      <c r="F288" s="179">
        <f t="shared" si="10"/>
        <v>28</v>
      </c>
    </row>
    <row r="289" spans="1:6">
      <c r="A289" s="177">
        <v>230596600</v>
      </c>
      <c r="B289" s="177">
        <v>2305966</v>
      </c>
      <c r="C289" s="177">
        <v>507</v>
      </c>
      <c r="D289" s="179">
        <v>121</v>
      </c>
      <c r="E289" s="183">
        <f t="shared" si="9"/>
        <v>1</v>
      </c>
      <c r="F289" s="179">
        <f t="shared" si="10"/>
        <v>121</v>
      </c>
    </row>
    <row r="290" spans="1:6">
      <c r="A290" s="177">
        <v>230609200</v>
      </c>
      <c r="B290" s="177">
        <v>2306092</v>
      </c>
      <c r="C290" s="177">
        <v>507</v>
      </c>
      <c r="D290" s="179">
        <v>110</v>
      </c>
      <c r="E290" s="183">
        <f t="shared" si="9"/>
        <v>1</v>
      </c>
      <c r="F290" s="179">
        <f t="shared" si="10"/>
        <v>110</v>
      </c>
    </row>
    <row r="291" spans="1:6">
      <c r="A291" s="177">
        <v>230611000</v>
      </c>
      <c r="B291" s="177">
        <v>2306110</v>
      </c>
      <c r="C291" s="177">
        <v>507</v>
      </c>
      <c r="D291" s="179">
        <v>100</v>
      </c>
      <c r="E291" s="183">
        <f t="shared" si="9"/>
        <v>1</v>
      </c>
      <c r="F291" s="179">
        <f t="shared" si="10"/>
        <v>100</v>
      </c>
    </row>
    <row r="292" spans="1:6">
      <c r="A292" s="177">
        <v>230617900</v>
      </c>
      <c r="B292" s="177">
        <v>2306179</v>
      </c>
      <c r="C292" s="177">
        <v>507</v>
      </c>
      <c r="D292" s="179">
        <v>240</v>
      </c>
      <c r="E292" s="183">
        <f t="shared" si="9"/>
        <v>1</v>
      </c>
      <c r="F292" s="179">
        <f t="shared" si="10"/>
        <v>240</v>
      </c>
    </row>
    <row r="293" spans="1:6">
      <c r="A293" s="177">
        <v>230637400</v>
      </c>
      <c r="B293" s="177">
        <v>2306374</v>
      </c>
      <c r="C293" s="177">
        <v>520</v>
      </c>
      <c r="D293" s="179">
        <v>99</v>
      </c>
      <c r="E293" s="183">
        <f t="shared" si="9"/>
        <v>0.8</v>
      </c>
      <c r="F293" s="179">
        <f t="shared" si="10"/>
        <v>79.2</v>
      </c>
    </row>
    <row r="294" spans="1:6">
      <c r="A294" s="177">
        <v>230651400</v>
      </c>
      <c r="B294" s="177">
        <v>2306514</v>
      </c>
      <c r="C294" s="177">
        <v>508</v>
      </c>
      <c r="D294" s="179">
        <v>99</v>
      </c>
      <c r="E294" s="183">
        <f t="shared" si="9"/>
        <v>0.8</v>
      </c>
      <c r="F294" s="179">
        <f t="shared" si="10"/>
        <v>79.2</v>
      </c>
    </row>
    <row r="295" spans="1:6">
      <c r="A295" s="177">
        <v>230654900</v>
      </c>
      <c r="B295" s="177">
        <v>2306549</v>
      </c>
      <c r="C295" s="177">
        <v>507</v>
      </c>
      <c r="D295" s="179">
        <v>620</v>
      </c>
      <c r="E295" s="183">
        <f t="shared" si="9"/>
        <v>1.2</v>
      </c>
      <c r="F295" s="179">
        <f t="shared" si="10"/>
        <v>744</v>
      </c>
    </row>
    <row r="296" spans="1:6">
      <c r="A296" s="177">
        <v>230663800</v>
      </c>
      <c r="B296" s="177">
        <v>2306638</v>
      </c>
      <c r="C296" s="177">
        <v>311</v>
      </c>
      <c r="D296" s="179">
        <v>30</v>
      </c>
      <c r="E296" s="183">
        <f t="shared" si="9"/>
        <v>0.8</v>
      </c>
      <c r="F296" s="179">
        <f t="shared" si="10"/>
        <v>24</v>
      </c>
    </row>
    <row r="297" spans="1:6">
      <c r="A297" s="177">
        <v>230668300</v>
      </c>
      <c r="B297" s="177">
        <v>2306683</v>
      </c>
      <c r="C297" s="177">
        <v>401</v>
      </c>
      <c r="D297" s="179">
        <v>26</v>
      </c>
      <c r="E297" s="183">
        <f t="shared" si="9"/>
        <v>0.8</v>
      </c>
      <c r="F297" s="179">
        <f t="shared" si="10"/>
        <v>20.8</v>
      </c>
    </row>
    <row r="298" spans="1:6">
      <c r="A298" s="177">
        <v>230700300</v>
      </c>
      <c r="B298" s="177">
        <v>2307003</v>
      </c>
      <c r="C298" s="177">
        <v>401</v>
      </c>
      <c r="D298" s="179">
        <v>102</v>
      </c>
      <c r="E298" s="183">
        <f t="shared" si="9"/>
        <v>1</v>
      </c>
      <c r="F298" s="179">
        <f t="shared" si="10"/>
        <v>102</v>
      </c>
    </row>
    <row r="299" spans="1:6">
      <c r="A299" s="177">
        <v>230713000</v>
      </c>
      <c r="B299" s="177">
        <v>2307130</v>
      </c>
      <c r="C299" s="177">
        <v>311</v>
      </c>
      <c r="D299" s="179">
        <v>90</v>
      </c>
      <c r="E299" s="183">
        <f t="shared" si="9"/>
        <v>0.8</v>
      </c>
      <c r="F299" s="179">
        <f t="shared" si="10"/>
        <v>72</v>
      </c>
    </row>
    <row r="300" spans="1:6">
      <c r="A300" s="177">
        <v>230732900</v>
      </c>
      <c r="B300" s="177">
        <v>2307329</v>
      </c>
      <c r="C300" s="177">
        <v>311</v>
      </c>
      <c r="D300" s="179">
        <v>1121</v>
      </c>
      <c r="E300" s="183">
        <f t="shared" si="9"/>
        <v>0.8</v>
      </c>
      <c r="F300" s="179">
        <f t="shared" si="10"/>
        <v>896.80000000000007</v>
      </c>
    </row>
    <row r="301" spans="1:6">
      <c r="A301" s="177">
        <v>706310000</v>
      </c>
      <c r="B301" s="177">
        <v>2307329</v>
      </c>
      <c r="C301" s="177">
        <v>315</v>
      </c>
      <c r="D301" s="179">
        <v>3910</v>
      </c>
      <c r="E301" s="183">
        <f t="shared" si="9"/>
        <v>0.8</v>
      </c>
      <c r="F301" s="179">
        <f t="shared" si="10"/>
        <v>3128</v>
      </c>
    </row>
    <row r="302" spans="1:6">
      <c r="A302" s="177">
        <v>230739100</v>
      </c>
      <c r="B302" s="177">
        <v>2307391</v>
      </c>
      <c r="C302" s="177">
        <v>311</v>
      </c>
      <c r="D302" s="179">
        <v>4</v>
      </c>
      <c r="E302" s="183">
        <f t="shared" si="9"/>
        <v>0.8</v>
      </c>
      <c r="F302" s="179">
        <f t="shared" si="10"/>
        <v>3.2</v>
      </c>
    </row>
    <row r="303" spans="1:6">
      <c r="A303" s="177">
        <v>230761000</v>
      </c>
      <c r="B303" s="177">
        <v>2307610</v>
      </c>
      <c r="C303" s="177">
        <v>311</v>
      </c>
      <c r="D303" s="179">
        <v>37</v>
      </c>
      <c r="E303" s="183">
        <f t="shared" si="9"/>
        <v>0.8</v>
      </c>
      <c r="F303" s="179">
        <f t="shared" si="10"/>
        <v>29.6</v>
      </c>
    </row>
    <row r="304" spans="1:6">
      <c r="A304" s="177">
        <v>231070100</v>
      </c>
      <c r="B304" s="177">
        <v>2310701</v>
      </c>
      <c r="C304" s="177">
        <v>401</v>
      </c>
      <c r="D304" s="179">
        <v>12</v>
      </c>
      <c r="E304" s="183">
        <f t="shared" si="9"/>
        <v>0.8</v>
      </c>
      <c r="F304" s="179">
        <f t="shared" si="10"/>
        <v>9.6000000000000014</v>
      </c>
    </row>
    <row r="305" spans="1:6">
      <c r="A305" s="177">
        <v>234080100</v>
      </c>
      <c r="B305" s="177">
        <v>2340801</v>
      </c>
      <c r="C305" s="177">
        <v>401</v>
      </c>
      <c r="D305" s="179">
        <v>745</v>
      </c>
      <c r="E305" s="183">
        <f t="shared" si="9"/>
        <v>1.2</v>
      </c>
      <c r="F305" s="179">
        <f t="shared" si="10"/>
        <v>894</v>
      </c>
    </row>
    <row r="306" spans="1:6">
      <c r="A306" s="177">
        <v>155800100</v>
      </c>
      <c r="B306" s="177">
        <v>2344810</v>
      </c>
      <c r="C306" s="177">
        <v>311</v>
      </c>
      <c r="D306" s="179">
        <v>62</v>
      </c>
      <c r="E306" s="183">
        <f t="shared" si="9"/>
        <v>0.8</v>
      </c>
      <c r="F306" s="179">
        <f t="shared" si="10"/>
        <v>49.6</v>
      </c>
    </row>
    <row r="307" spans="1:6">
      <c r="A307" s="177">
        <v>631300000</v>
      </c>
      <c r="B307" s="177">
        <v>2346518</v>
      </c>
      <c r="C307" s="177">
        <v>390</v>
      </c>
      <c r="D307" s="179">
        <v>76</v>
      </c>
      <c r="E307" s="183">
        <f t="shared" si="9"/>
        <v>0.8</v>
      </c>
      <c r="F307" s="179">
        <f t="shared" si="10"/>
        <v>60.800000000000004</v>
      </c>
    </row>
    <row r="308" spans="1:6">
      <c r="A308" s="177">
        <v>225270100</v>
      </c>
      <c r="B308" s="177">
        <v>2355220</v>
      </c>
      <c r="C308" s="177">
        <v>311</v>
      </c>
      <c r="D308" s="179">
        <v>18</v>
      </c>
      <c r="E308" s="183">
        <f t="shared" si="9"/>
        <v>0.8</v>
      </c>
      <c r="F308" s="179">
        <f t="shared" si="10"/>
        <v>14.4</v>
      </c>
    </row>
    <row r="309" spans="1:6">
      <c r="A309" s="177">
        <v>692370000</v>
      </c>
      <c r="B309" s="177">
        <v>2377414</v>
      </c>
      <c r="C309" s="177">
        <v>390</v>
      </c>
      <c r="D309" s="179">
        <v>706</v>
      </c>
      <c r="E309" s="183">
        <f t="shared" si="9"/>
        <v>1.2</v>
      </c>
      <c r="F309" s="179">
        <f t="shared" si="10"/>
        <v>847.19999999999993</v>
      </c>
    </row>
    <row r="310" spans="1:6">
      <c r="A310" s="177">
        <v>640570000</v>
      </c>
      <c r="B310" s="177">
        <v>2383404</v>
      </c>
      <c r="C310" s="177">
        <v>390</v>
      </c>
      <c r="D310" s="179">
        <v>482</v>
      </c>
      <c r="E310" s="183">
        <f t="shared" si="9"/>
        <v>1</v>
      </c>
      <c r="F310" s="179">
        <f t="shared" si="10"/>
        <v>482</v>
      </c>
    </row>
    <row r="311" spans="1:6">
      <c r="A311" s="177">
        <v>238400200</v>
      </c>
      <c r="B311" s="177">
        <v>2384002</v>
      </c>
      <c r="C311" s="177">
        <v>401</v>
      </c>
      <c r="D311" s="179">
        <v>51</v>
      </c>
      <c r="E311" s="183">
        <f t="shared" si="9"/>
        <v>0.8</v>
      </c>
      <c r="F311" s="179">
        <f t="shared" si="10"/>
        <v>40.800000000000004</v>
      </c>
    </row>
    <row r="312" spans="1:6">
      <c r="A312" s="177">
        <v>130770100</v>
      </c>
      <c r="B312" s="177">
        <v>2384584</v>
      </c>
      <c r="C312" s="177">
        <v>311</v>
      </c>
      <c r="D312" s="179">
        <v>39</v>
      </c>
      <c r="E312" s="183">
        <f t="shared" si="9"/>
        <v>0.8</v>
      </c>
      <c r="F312" s="179">
        <f t="shared" si="10"/>
        <v>31.200000000000003</v>
      </c>
    </row>
    <row r="313" spans="1:6">
      <c r="A313" s="177">
        <v>106130000</v>
      </c>
      <c r="B313" s="177">
        <v>2399483</v>
      </c>
      <c r="C313" s="177">
        <v>311</v>
      </c>
      <c r="D313" s="179">
        <v>30</v>
      </c>
      <c r="E313" s="183">
        <f t="shared" si="9"/>
        <v>0.8</v>
      </c>
      <c r="F313" s="179">
        <f t="shared" si="10"/>
        <v>24</v>
      </c>
    </row>
    <row r="314" spans="1:6">
      <c r="A314" s="177">
        <v>133190200</v>
      </c>
      <c r="B314" s="177">
        <v>2410025</v>
      </c>
      <c r="C314" s="177">
        <v>312</v>
      </c>
      <c r="D314" s="179">
        <v>23</v>
      </c>
      <c r="E314" s="183">
        <f t="shared" si="9"/>
        <v>0.8</v>
      </c>
      <c r="F314" s="179">
        <f t="shared" si="10"/>
        <v>18.400000000000002</v>
      </c>
    </row>
    <row r="315" spans="1:6">
      <c r="A315" s="177">
        <v>671700100</v>
      </c>
      <c r="B315" s="177">
        <v>2410025</v>
      </c>
      <c r="C315" s="177">
        <v>311</v>
      </c>
      <c r="D315" s="179">
        <v>13</v>
      </c>
      <c r="E315" s="183">
        <f t="shared" si="9"/>
        <v>0.8</v>
      </c>
      <c r="F315" s="179">
        <f t="shared" si="10"/>
        <v>10.4</v>
      </c>
    </row>
    <row r="316" spans="1:6">
      <c r="A316" s="177">
        <v>311370300</v>
      </c>
      <c r="B316" s="177">
        <v>2424844</v>
      </c>
      <c r="C316" s="177">
        <v>810</v>
      </c>
      <c r="D316" s="179">
        <v>734</v>
      </c>
      <c r="E316" s="183">
        <f t="shared" si="9"/>
        <v>1.2</v>
      </c>
      <c r="F316" s="179">
        <f t="shared" si="10"/>
        <v>880.8</v>
      </c>
    </row>
    <row r="317" spans="1:6">
      <c r="A317" s="177">
        <v>379810100</v>
      </c>
      <c r="B317" s="177">
        <v>2424844</v>
      </c>
      <c r="C317" s="177">
        <v>311</v>
      </c>
      <c r="D317" s="179">
        <v>55</v>
      </c>
      <c r="E317" s="183">
        <f t="shared" si="9"/>
        <v>0.8</v>
      </c>
      <c r="F317" s="179">
        <f t="shared" si="10"/>
        <v>44</v>
      </c>
    </row>
    <row r="318" spans="1:6">
      <c r="A318" s="177">
        <v>700420000</v>
      </c>
      <c r="B318" s="177">
        <v>2432281</v>
      </c>
      <c r="C318" s="177">
        <v>401</v>
      </c>
      <c r="D318" s="179">
        <v>286</v>
      </c>
      <c r="E318" s="183">
        <f t="shared" si="9"/>
        <v>1</v>
      </c>
      <c r="F318" s="179">
        <f t="shared" si="10"/>
        <v>286</v>
      </c>
    </row>
    <row r="319" spans="1:6">
      <c r="A319" s="177">
        <v>246040100</v>
      </c>
      <c r="B319" s="177">
        <v>2460401</v>
      </c>
      <c r="C319" s="177">
        <v>311</v>
      </c>
      <c r="D319" s="179">
        <v>37</v>
      </c>
      <c r="E319" s="183">
        <f t="shared" si="9"/>
        <v>0.8</v>
      </c>
      <c r="F319" s="179">
        <f t="shared" si="10"/>
        <v>29.6</v>
      </c>
    </row>
    <row r="320" spans="1:6">
      <c r="A320" s="177">
        <v>246490000</v>
      </c>
      <c r="B320" s="177">
        <v>2464900</v>
      </c>
      <c r="C320" s="177">
        <v>401</v>
      </c>
      <c r="D320" s="179">
        <v>30</v>
      </c>
      <c r="E320" s="183">
        <f t="shared" si="9"/>
        <v>0.8</v>
      </c>
      <c r="F320" s="179">
        <f t="shared" si="10"/>
        <v>24</v>
      </c>
    </row>
    <row r="321" spans="1:6">
      <c r="A321" s="177">
        <v>247560000</v>
      </c>
      <c r="B321" s="177">
        <v>2475600</v>
      </c>
      <c r="C321" s="177">
        <v>407</v>
      </c>
      <c r="D321" s="179">
        <v>500</v>
      </c>
      <c r="E321" s="183">
        <f t="shared" si="9"/>
        <v>1.2</v>
      </c>
      <c r="F321" s="179">
        <f t="shared" si="10"/>
        <v>600</v>
      </c>
    </row>
    <row r="322" spans="1:6">
      <c r="A322" s="177">
        <v>247690100</v>
      </c>
      <c r="B322" s="177">
        <v>2476901</v>
      </c>
      <c r="C322" s="177">
        <v>311</v>
      </c>
      <c r="D322" s="179">
        <v>32</v>
      </c>
      <c r="E322" s="183">
        <f t="shared" si="9"/>
        <v>0.8</v>
      </c>
      <c r="F322" s="179">
        <f t="shared" si="10"/>
        <v>25.6</v>
      </c>
    </row>
    <row r="323" spans="1:6">
      <c r="A323" s="177">
        <v>179550000</v>
      </c>
      <c r="B323" s="177">
        <v>2479400</v>
      </c>
      <c r="C323" s="177">
        <v>415</v>
      </c>
      <c r="D323" s="179">
        <v>62</v>
      </c>
      <c r="E323" s="183">
        <f t="shared" si="9"/>
        <v>0.8</v>
      </c>
      <c r="F323" s="179">
        <f t="shared" si="10"/>
        <v>49.6</v>
      </c>
    </row>
    <row r="324" spans="1:6">
      <c r="A324" s="177">
        <v>687960000</v>
      </c>
      <c r="B324" s="177">
        <v>2479400</v>
      </c>
      <c r="C324" s="177">
        <v>311</v>
      </c>
      <c r="D324" s="179">
        <v>110</v>
      </c>
      <c r="E324" s="183">
        <f t="shared" si="9"/>
        <v>1</v>
      </c>
      <c r="F324" s="179">
        <f t="shared" si="10"/>
        <v>110</v>
      </c>
    </row>
    <row r="325" spans="1:6">
      <c r="A325" s="177">
        <v>248880000</v>
      </c>
      <c r="B325" s="177">
        <v>2488800</v>
      </c>
      <c r="C325" s="177">
        <v>401</v>
      </c>
      <c r="D325" s="179">
        <v>167</v>
      </c>
      <c r="E325" s="183">
        <f t="shared" si="9"/>
        <v>1</v>
      </c>
      <c r="F325" s="179">
        <f t="shared" si="10"/>
        <v>167</v>
      </c>
    </row>
    <row r="326" spans="1:6">
      <c r="A326" s="177">
        <v>534070310</v>
      </c>
      <c r="B326" s="177">
        <v>2502789</v>
      </c>
      <c r="C326" s="177">
        <v>311</v>
      </c>
      <c r="D326" s="179">
        <v>22</v>
      </c>
      <c r="E326" s="183">
        <f t="shared" si="9"/>
        <v>0.8</v>
      </c>
      <c r="F326" s="179">
        <f t="shared" si="10"/>
        <v>17.600000000000001</v>
      </c>
    </row>
    <row r="327" spans="1:6">
      <c r="A327" s="177">
        <v>251610100</v>
      </c>
      <c r="B327" s="177">
        <v>2516101</v>
      </c>
      <c r="C327" s="177">
        <v>803</v>
      </c>
      <c r="D327" s="179">
        <v>726</v>
      </c>
      <c r="E327" s="183">
        <f t="shared" si="9"/>
        <v>1.2</v>
      </c>
      <c r="F327" s="179">
        <f t="shared" si="10"/>
        <v>871.19999999999993</v>
      </c>
    </row>
    <row r="328" spans="1:6">
      <c r="A328" s="177">
        <v>474760000</v>
      </c>
      <c r="B328" s="177">
        <v>2516101</v>
      </c>
      <c r="C328" s="177">
        <v>311</v>
      </c>
      <c r="D328" s="179">
        <v>15</v>
      </c>
      <c r="E328" s="183">
        <f t="shared" si="9"/>
        <v>0.8</v>
      </c>
      <c r="F328" s="179">
        <f t="shared" si="10"/>
        <v>12</v>
      </c>
    </row>
    <row r="329" spans="1:6">
      <c r="A329" s="177">
        <v>699930000</v>
      </c>
      <c r="B329" s="177">
        <v>2516101</v>
      </c>
      <c r="C329" s="177">
        <v>401</v>
      </c>
      <c r="D329" s="179">
        <v>99</v>
      </c>
      <c r="E329" s="183">
        <f t="shared" si="9"/>
        <v>0.8</v>
      </c>
      <c r="F329" s="179">
        <f t="shared" si="10"/>
        <v>79.2</v>
      </c>
    </row>
    <row r="330" spans="1:6">
      <c r="A330" s="177">
        <v>251780100</v>
      </c>
      <c r="B330" s="177">
        <v>2517801</v>
      </c>
      <c r="C330" s="177">
        <v>321</v>
      </c>
      <c r="D330" s="179">
        <v>248</v>
      </c>
      <c r="E330" s="183">
        <f t="shared" si="9"/>
        <v>1</v>
      </c>
      <c r="F330" s="179">
        <f t="shared" si="10"/>
        <v>248</v>
      </c>
    </row>
    <row r="331" spans="1:6">
      <c r="A331" s="177">
        <v>252220100</v>
      </c>
      <c r="B331" s="177">
        <v>2522201</v>
      </c>
      <c r="C331" s="177">
        <v>311</v>
      </c>
      <c r="D331" s="179">
        <v>25</v>
      </c>
      <c r="E331" s="183">
        <f t="shared" ref="E331:E394" si="11">VLOOKUP(D331,$A$3:$C$7,3,TRUE)</f>
        <v>0.8</v>
      </c>
      <c r="F331" s="179">
        <f t="shared" ref="F331:F394" si="12">VLOOKUP(D331,$A$3:$C$7,3,TRUE)*D331</f>
        <v>20</v>
      </c>
    </row>
    <row r="332" spans="1:6">
      <c r="A332" s="177">
        <v>253040000</v>
      </c>
      <c r="B332" s="177">
        <v>2530400</v>
      </c>
      <c r="C332" s="177">
        <v>901</v>
      </c>
      <c r="D332" s="179">
        <v>742</v>
      </c>
      <c r="E332" s="183">
        <f t="shared" si="11"/>
        <v>1.2</v>
      </c>
      <c r="F332" s="179">
        <f t="shared" si="12"/>
        <v>890.4</v>
      </c>
    </row>
    <row r="333" spans="1:6">
      <c r="A333" s="177">
        <v>133110000</v>
      </c>
      <c r="B333" s="177">
        <v>2537710</v>
      </c>
      <c r="C333" s="177">
        <v>311</v>
      </c>
      <c r="D333" s="179">
        <v>18</v>
      </c>
      <c r="E333" s="183">
        <f t="shared" si="11"/>
        <v>0.8</v>
      </c>
      <c r="F333" s="179">
        <f t="shared" si="12"/>
        <v>14.4</v>
      </c>
    </row>
    <row r="334" spans="1:6">
      <c r="A334" s="177">
        <v>254240100</v>
      </c>
      <c r="B334" s="177">
        <v>2542401</v>
      </c>
      <c r="C334" s="177">
        <v>311</v>
      </c>
      <c r="D334" s="179">
        <v>42</v>
      </c>
      <c r="E334" s="183">
        <f t="shared" si="11"/>
        <v>0.8</v>
      </c>
      <c r="F334" s="179">
        <f t="shared" si="12"/>
        <v>33.6</v>
      </c>
    </row>
    <row r="335" spans="1:6">
      <c r="A335" s="177">
        <v>331570000</v>
      </c>
      <c r="B335" s="177">
        <v>2570806</v>
      </c>
      <c r="C335" s="177">
        <v>401</v>
      </c>
      <c r="D335" s="179">
        <v>22</v>
      </c>
      <c r="E335" s="183">
        <f t="shared" si="11"/>
        <v>0.8</v>
      </c>
      <c r="F335" s="179">
        <f t="shared" si="12"/>
        <v>17.600000000000001</v>
      </c>
    </row>
    <row r="336" spans="1:6">
      <c r="A336" s="177">
        <v>169900300</v>
      </c>
      <c r="B336" s="177">
        <v>2595551</v>
      </c>
      <c r="C336" s="177">
        <v>401</v>
      </c>
      <c r="D336" s="179">
        <v>28</v>
      </c>
      <c r="E336" s="183">
        <f t="shared" si="11"/>
        <v>0.8</v>
      </c>
      <c r="F336" s="179">
        <f t="shared" si="12"/>
        <v>22.400000000000002</v>
      </c>
    </row>
    <row r="337" spans="1:6">
      <c r="A337" s="177">
        <v>536870000</v>
      </c>
      <c r="B337" s="177">
        <v>2597805</v>
      </c>
      <c r="C337" s="177">
        <v>311</v>
      </c>
      <c r="D337" s="179">
        <v>68</v>
      </c>
      <c r="E337" s="183">
        <f t="shared" si="11"/>
        <v>0.8</v>
      </c>
      <c r="F337" s="179">
        <f t="shared" si="12"/>
        <v>54.400000000000006</v>
      </c>
    </row>
    <row r="338" spans="1:6">
      <c r="A338" s="177">
        <v>400045700</v>
      </c>
      <c r="B338" s="177">
        <v>2600914</v>
      </c>
      <c r="C338" s="177">
        <v>661</v>
      </c>
      <c r="D338" s="179">
        <v>656</v>
      </c>
      <c r="E338" s="183">
        <f t="shared" si="11"/>
        <v>1.2</v>
      </c>
      <c r="F338" s="179">
        <f t="shared" si="12"/>
        <v>787.19999999999993</v>
      </c>
    </row>
    <row r="339" spans="1:6">
      <c r="A339" s="177">
        <v>673180000</v>
      </c>
      <c r="B339" s="177">
        <v>2610601</v>
      </c>
      <c r="C339" s="177">
        <v>390</v>
      </c>
      <c r="D339" s="179">
        <v>225</v>
      </c>
      <c r="E339" s="183">
        <f t="shared" si="11"/>
        <v>1</v>
      </c>
      <c r="F339" s="179">
        <f t="shared" si="12"/>
        <v>225</v>
      </c>
    </row>
    <row r="340" spans="1:6">
      <c r="A340" s="177">
        <v>263980000</v>
      </c>
      <c r="B340" s="177">
        <v>2639800</v>
      </c>
      <c r="C340" s="177">
        <v>508</v>
      </c>
      <c r="D340" s="179">
        <v>530</v>
      </c>
      <c r="E340" s="183">
        <f t="shared" si="11"/>
        <v>1.2</v>
      </c>
      <c r="F340" s="179">
        <f t="shared" si="12"/>
        <v>636</v>
      </c>
    </row>
    <row r="341" spans="1:6">
      <c r="A341" s="177">
        <v>267740000</v>
      </c>
      <c r="B341" s="177">
        <v>2677400</v>
      </c>
      <c r="C341" s="177">
        <v>507</v>
      </c>
      <c r="D341" s="179">
        <v>120</v>
      </c>
      <c r="E341" s="183">
        <f t="shared" si="11"/>
        <v>1</v>
      </c>
      <c r="F341" s="179">
        <f t="shared" si="12"/>
        <v>120</v>
      </c>
    </row>
    <row r="342" spans="1:6">
      <c r="A342" s="177">
        <v>271270000</v>
      </c>
      <c r="B342" s="177">
        <v>2712700</v>
      </c>
      <c r="C342" s="177">
        <v>311</v>
      </c>
      <c r="D342" s="179">
        <v>15</v>
      </c>
      <c r="E342" s="183">
        <f t="shared" si="11"/>
        <v>0.8</v>
      </c>
      <c r="F342" s="179">
        <f t="shared" si="12"/>
        <v>12</v>
      </c>
    </row>
    <row r="343" spans="1:6">
      <c r="A343" s="177">
        <v>876680000</v>
      </c>
      <c r="B343" s="177">
        <v>2780401</v>
      </c>
      <c r="C343" s="177">
        <v>311</v>
      </c>
      <c r="D343" s="179">
        <v>66</v>
      </c>
      <c r="E343" s="183">
        <f t="shared" si="11"/>
        <v>0.8</v>
      </c>
      <c r="F343" s="179">
        <f t="shared" si="12"/>
        <v>52.800000000000004</v>
      </c>
    </row>
    <row r="344" spans="1:6">
      <c r="A344" s="177">
        <v>876680100</v>
      </c>
      <c r="B344" s="177">
        <v>2780401</v>
      </c>
      <c r="C344" s="177">
        <v>811</v>
      </c>
      <c r="D344" s="179">
        <v>26</v>
      </c>
      <c r="E344" s="183">
        <f t="shared" si="11"/>
        <v>0.8</v>
      </c>
      <c r="F344" s="179">
        <f t="shared" si="12"/>
        <v>20.8</v>
      </c>
    </row>
    <row r="345" spans="1:6">
      <c r="A345" s="177">
        <v>97400000</v>
      </c>
      <c r="B345" s="177">
        <v>2796601</v>
      </c>
      <c r="C345" s="177">
        <v>311</v>
      </c>
      <c r="D345" s="179">
        <v>397</v>
      </c>
      <c r="E345" s="183">
        <f t="shared" si="11"/>
        <v>1</v>
      </c>
      <c r="F345" s="179">
        <f t="shared" si="12"/>
        <v>397</v>
      </c>
    </row>
    <row r="346" spans="1:6">
      <c r="A346" s="177">
        <v>279660700</v>
      </c>
      <c r="B346" s="177">
        <v>2796601</v>
      </c>
      <c r="C346" s="177">
        <v>313</v>
      </c>
      <c r="D346" s="179">
        <v>3788</v>
      </c>
      <c r="E346" s="183">
        <f t="shared" si="11"/>
        <v>0.8</v>
      </c>
      <c r="F346" s="179">
        <f t="shared" si="12"/>
        <v>3030.4</v>
      </c>
    </row>
    <row r="347" spans="1:6">
      <c r="A347" s="177">
        <v>813600000</v>
      </c>
      <c r="B347" s="177">
        <v>2796601</v>
      </c>
      <c r="C347" s="177">
        <v>313</v>
      </c>
      <c r="D347" s="179">
        <v>706</v>
      </c>
      <c r="E347" s="183">
        <f t="shared" si="11"/>
        <v>1.2</v>
      </c>
      <c r="F347" s="179">
        <f t="shared" si="12"/>
        <v>847.19999999999993</v>
      </c>
    </row>
    <row r="348" spans="1:6">
      <c r="A348" s="177">
        <v>813600100</v>
      </c>
      <c r="B348" s="177">
        <v>2796601</v>
      </c>
      <c r="C348" s="177">
        <v>810</v>
      </c>
      <c r="D348" s="179">
        <v>375</v>
      </c>
      <c r="E348" s="183">
        <f t="shared" si="11"/>
        <v>1</v>
      </c>
      <c r="F348" s="179">
        <f t="shared" si="12"/>
        <v>375</v>
      </c>
    </row>
    <row r="349" spans="1:6">
      <c r="A349" s="177">
        <v>824710200</v>
      </c>
      <c r="B349" s="177">
        <v>2796601</v>
      </c>
      <c r="C349" s="177">
        <v>311</v>
      </c>
      <c r="D349" s="179">
        <v>354</v>
      </c>
      <c r="E349" s="183">
        <f t="shared" si="11"/>
        <v>1</v>
      </c>
      <c r="F349" s="179">
        <f t="shared" si="12"/>
        <v>354</v>
      </c>
    </row>
    <row r="350" spans="1:6">
      <c r="A350" s="177">
        <v>898600000</v>
      </c>
      <c r="B350" s="177">
        <v>2796601</v>
      </c>
      <c r="C350" s="177">
        <v>401</v>
      </c>
      <c r="D350" s="179">
        <v>1437</v>
      </c>
      <c r="E350" s="183">
        <f t="shared" si="11"/>
        <v>0.8</v>
      </c>
      <c r="F350" s="179">
        <f t="shared" si="12"/>
        <v>1149.6000000000001</v>
      </c>
    </row>
    <row r="351" spans="1:6">
      <c r="A351" s="177">
        <v>1022480000</v>
      </c>
      <c r="B351" s="177">
        <v>2796601</v>
      </c>
      <c r="C351" s="177">
        <v>313</v>
      </c>
      <c r="D351" s="179">
        <v>1009</v>
      </c>
      <c r="E351" s="183">
        <f t="shared" si="11"/>
        <v>0.8</v>
      </c>
      <c r="F351" s="179">
        <f t="shared" si="12"/>
        <v>807.2</v>
      </c>
    </row>
    <row r="352" spans="1:6">
      <c r="A352" s="177">
        <v>283060000</v>
      </c>
      <c r="B352" s="177">
        <v>2830600</v>
      </c>
      <c r="C352" s="177">
        <v>311</v>
      </c>
      <c r="D352" s="179">
        <v>26</v>
      </c>
      <c r="E352" s="183">
        <f t="shared" si="11"/>
        <v>0.8</v>
      </c>
      <c r="F352" s="179">
        <f t="shared" si="12"/>
        <v>20.8</v>
      </c>
    </row>
    <row r="353" spans="1:6">
      <c r="A353" s="177">
        <v>283510000</v>
      </c>
      <c r="B353" s="177">
        <v>2835100</v>
      </c>
      <c r="C353" s="177">
        <v>507</v>
      </c>
      <c r="D353" s="179">
        <v>61</v>
      </c>
      <c r="E353" s="183">
        <f t="shared" si="11"/>
        <v>0.8</v>
      </c>
      <c r="F353" s="179">
        <f t="shared" si="12"/>
        <v>48.800000000000004</v>
      </c>
    </row>
    <row r="354" spans="1:6">
      <c r="A354" s="177">
        <v>560640000</v>
      </c>
      <c r="B354" s="177">
        <v>2840460</v>
      </c>
      <c r="C354" s="177">
        <v>401</v>
      </c>
      <c r="D354" s="179">
        <v>28</v>
      </c>
      <c r="E354" s="183">
        <f t="shared" si="11"/>
        <v>0.8</v>
      </c>
      <c r="F354" s="179">
        <f t="shared" si="12"/>
        <v>22.400000000000002</v>
      </c>
    </row>
    <row r="355" spans="1:6">
      <c r="A355" s="177">
        <v>148270000</v>
      </c>
      <c r="B355" s="177">
        <v>2840726</v>
      </c>
      <c r="C355" s="177">
        <v>311</v>
      </c>
      <c r="D355" s="179">
        <v>117</v>
      </c>
      <c r="E355" s="183">
        <f t="shared" si="11"/>
        <v>1</v>
      </c>
      <c r="F355" s="179">
        <f t="shared" si="12"/>
        <v>117</v>
      </c>
    </row>
    <row r="356" spans="1:6">
      <c r="A356" s="177">
        <v>150870000</v>
      </c>
      <c r="B356" s="177">
        <v>2840726</v>
      </c>
      <c r="C356" s="177">
        <v>401</v>
      </c>
      <c r="D356" s="179">
        <v>29</v>
      </c>
      <c r="E356" s="183">
        <f t="shared" si="11"/>
        <v>0.8</v>
      </c>
      <c r="F356" s="179">
        <f t="shared" si="12"/>
        <v>23.200000000000003</v>
      </c>
    </row>
    <row r="357" spans="1:6">
      <c r="A357" s="177">
        <v>336480200</v>
      </c>
      <c r="B357" s="177">
        <v>2843753</v>
      </c>
      <c r="C357" s="177">
        <v>311</v>
      </c>
      <c r="D357" s="179">
        <v>10</v>
      </c>
      <c r="E357" s="183">
        <f t="shared" si="11"/>
        <v>0.8</v>
      </c>
      <c r="F357" s="179">
        <f t="shared" si="12"/>
        <v>8</v>
      </c>
    </row>
    <row r="358" spans="1:6">
      <c r="A358" s="177">
        <v>285350000</v>
      </c>
      <c r="B358" s="177">
        <v>2853501</v>
      </c>
      <c r="C358" s="177">
        <v>311</v>
      </c>
      <c r="D358" s="179">
        <v>48</v>
      </c>
      <c r="E358" s="183">
        <f t="shared" si="11"/>
        <v>0.8</v>
      </c>
      <c r="F358" s="179">
        <f t="shared" si="12"/>
        <v>38.400000000000006</v>
      </c>
    </row>
    <row r="359" spans="1:6">
      <c r="A359" s="177">
        <v>717320000</v>
      </c>
      <c r="B359" s="177">
        <v>2865000</v>
      </c>
      <c r="C359" s="177">
        <v>315</v>
      </c>
      <c r="D359" s="179">
        <v>121</v>
      </c>
      <c r="E359" s="183">
        <f t="shared" si="11"/>
        <v>1</v>
      </c>
      <c r="F359" s="179">
        <f t="shared" si="12"/>
        <v>121</v>
      </c>
    </row>
    <row r="360" spans="1:6">
      <c r="A360" s="177">
        <v>447720000</v>
      </c>
      <c r="B360" s="177">
        <v>2871916</v>
      </c>
      <c r="C360" s="177">
        <v>311</v>
      </c>
      <c r="D360" s="179">
        <v>19</v>
      </c>
      <c r="E360" s="183">
        <f t="shared" si="11"/>
        <v>0.8</v>
      </c>
      <c r="F360" s="179">
        <f t="shared" si="12"/>
        <v>15.200000000000001</v>
      </c>
    </row>
    <row r="361" spans="1:6">
      <c r="A361" s="177">
        <v>288260100</v>
      </c>
      <c r="B361" s="177">
        <v>2882601</v>
      </c>
      <c r="C361" s="177">
        <v>902</v>
      </c>
      <c r="D361" s="179">
        <v>1559</v>
      </c>
      <c r="E361" s="183">
        <f t="shared" si="11"/>
        <v>0.8</v>
      </c>
      <c r="F361" s="179">
        <f t="shared" si="12"/>
        <v>1247.2</v>
      </c>
    </row>
    <row r="362" spans="1:6">
      <c r="A362" s="177">
        <v>170230000</v>
      </c>
      <c r="B362" s="177">
        <v>2887065</v>
      </c>
      <c r="C362" s="177">
        <v>401</v>
      </c>
      <c r="D362" s="179">
        <v>106</v>
      </c>
      <c r="E362" s="183">
        <f t="shared" si="11"/>
        <v>1</v>
      </c>
      <c r="F362" s="179">
        <f t="shared" si="12"/>
        <v>106</v>
      </c>
    </row>
    <row r="363" spans="1:6">
      <c r="A363" s="177">
        <v>291580100</v>
      </c>
      <c r="B363" s="177">
        <v>2915801</v>
      </c>
      <c r="C363" s="177">
        <v>311</v>
      </c>
      <c r="D363" s="179">
        <v>47</v>
      </c>
      <c r="E363" s="183">
        <f t="shared" si="11"/>
        <v>0.8</v>
      </c>
      <c r="F363" s="179">
        <f t="shared" si="12"/>
        <v>37.6</v>
      </c>
    </row>
    <row r="364" spans="1:6">
      <c r="A364" s="177">
        <v>803600000</v>
      </c>
      <c r="B364" s="177">
        <v>2938802</v>
      </c>
      <c r="C364" s="177">
        <v>313</v>
      </c>
      <c r="D364" s="179">
        <v>226</v>
      </c>
      <c r="E364" s="183">
        <f t="shared" si="11"/>
        <v>1</v>
      </c>
      <c r="F364" s="179">
        <f t="shared" si="12"/>
        <v>226</v>
      </c>
    </row>
    <row r="365" spans="1:6">
      <c r="A365" s="177">
        <v>296880000</v>
      </c>
      <c r="B365" s="177">
        <v>2968888</v>
      </c>
      <c r="C365" s="177">
        <v>311</v>
      </c>
      <c r="D365" s="179">
        <v>1245</v>
      </c>
      <c r="E365" s="183">
        <f t="shared" si="11"/>
        <v>0.8</v>
      </c>
      <c r="F365" s="179">
        <f t="shared" si="12"/>
        <v>996</v>
      </c>
    </row>
    <row r="366" spans="1:6">
      <c r="A366" s="177">
        <v>296880600</v>
      </c>
      <c r="B366" s="177">
        <v>2968888</v>
      </c>
      <c r="C366" s="177">
        <v>810</v>
      </c>
      <c r="D366" s="179">
        <v>727</v>
      </c>
      <c r="E366" s="183">
        <f t="shared" si="11"/>
        <v>1.2</v>
      </c>
      <c r="F366" s="179">
        <f t="shared" si="12"/>
        <v>872.4</v>
      </c>
    </row>
    <row r="367" spans="1:6">
      <c r="A367" s="177">
        <v>297680001</v>
      </c>
      <c r="B367" s="177">
        <v>2976800</v>
      </c>
      <c r="C367" s="177">
        <v>403</v>
      </c>
      <c r="D367" s="179">
        <v>5681</v>
      </c>
      <c r="E367" s="183">
        <f t="shared" si="11"/>
        <v>0.6</v>
      </c>
      <c r="F367" s="179">
        <f t="shared" si="12"/>
        <v>3408.6</v>
      </c>
    </row>
    <row r="368" spans="1:6">
      <c r="A368" s="177">
        <v>297680100</v>
      </c>
      <c r="B368" s="177">
        <v>2976801</v>
      </c>
      <c r="C368" s="177">
        <v>403</v>
      </c>
      <c r="D368" s="179">
        <v>15924</v>
      </c>
      <c r="E368" s="183">
        <f t="shared" si="11"/>
        <v>0.6</v>
      </c>
      <c r="F368" s="179">
        <f t="shared" si="12"/>
        <v>9554.4</v>
      </c>
    </row>
    <row r="369" spans="1:6">
      <c r="A369" s="177">
        <v>154610000</v>
      </c>
      <c r="B369" s="177">
        <v>3007776</v>
      </c>
      <c r="C369" s="177">
        <v>311</v>
      </c>
      <c r="D369" s="179">
        <v>24</v>
      </c>
      <c r="E369" s="183">
        <f t="shared" si="11"/>
        <v>0.8</v>
      </c>
      <c r="F369" s="179">
        <f t="shared" si="12"/>
        <v>19.200000000000003</v>
      </c>
    </row>
    <row r="370" spans="1:6">
      <c r="A370" s="177">
        <v>133820000</v>
      </c>
      <c r="B370" s="177">
        <v>3019015</v>
      </c>
      <c r="C370" s="177">
        <v>311</v>
      </c>
      <c r="D370" s="179">
        <v>5</v>
      </c>
      <c r="E370" s="183">
        <f t="shared" si="11"/>
        <v>0.8</v>
      </c>
      <c r="F370" s="179">
        <f t="shared" si="12"/>
        <v>4</v>
      </c>
    </row>
    <row r="371" spans="1:6">
      <c r="A371" s="177">
        <v>816950000</v>
      </c>
      <c r="B371" s="177">
        <v>3061367</v>
      </c>
      <c r="C371" s="177">
        <v>311</v>
      </c>
      <c r="D371" s="179">
        <v>94</v>
      </c>
      <c r="E371" s="183">
        <f t="shared" si="11"/>
        <v>0.8</v>
      </c>
      <c r="F371" s="179">
        <f t="shared" si="12"/>
        <v>75.2</v>
      </c>
    </row>
    <row r="372" spans="1:6">
      <c r="A372" s="177">
        <v>669670000</v>
      </c>
      <c r="B372" s="177">
        <v>3083342</v>
      </c>
      <c r="C372" s="177">
        <v>311</v>
      </c>
      <c r="D372" s="179">
        <v>23</v>
      </c>
      <c r="E372" s="183">
        <f t="shared" si="11"/>
        <v>0.8</v>
      </c>
      <c r="F372" s="179">
        <f t="shared" si="12"/>
        <v>18.400000000000002</v>
      </c>
    </row>
    <row r="373" spans="1:6">
      <c r="A373" s="177">
        <v>564760000</v>
      </c>
      <c r="B373" s="177">
        <v>3088846</v>
      </c>
      <c r="C373" s="177">
        <v>311</v>
      </c>
      <c r="D373" s="179">
        <v>20</v>
      </c>
      <c r="E373" s="183">
        <f t="shared" si="11"/>
        <v>0.8</v>
      </c>
      <c r="F373" s="179">
        <f t="shared" si="12"/>
        <v>16</v>
      </c>
    </row>
    <row r="374" spans="1:6">
      <c r="A374" s="177">
        <v>309590000</v>
      </c>
      <c r="B374" s="177">
        <v>3095900</v>
      </c>
      <c r="C374" s="177">
        <v>315</v>
      </c>
      <c r="D374" s="179">
        <v>1378</v>
      </c>
      <c r="E374" s="183">
        <f t="shared" si="11"/>
        <v>0.8</v>
      </c>
      <c r="F374" s="179">
        <f t="shared" si="12"/>
        <v>1102.4000000000001</v>
      </c>
    </row>
    <row r="375" spans="1:6">
      <c r="A375" s="177">
        <v>831590000</v>
      </c>
      <c r="B375" s="177">
        <v>3142197</v>
      </c>
      <c r="C375" s="177">
        <v>311</v>
      </c>
      <c r="D375" s="179">
        <v>400</v>
      </c>
      <c r="E375" s="183">
        <f t="shared" si="11"/>
        <v>1</v>
      </c>
      <c r="F375" s="179">
        <f t="shared" si="12"/>
        <v>400</v>
      </c>
    </row>
    <row r="376" spans="1:6">
      <c r="A376" s="177">
        <v>831590100</v>
      </c>
      <c r="B376" s="177">
        <v>3142197</v>
      </c>
      <c r="C376" s="177">
        <v>810</v>
      </c>
      <c r="D376" s="179">
        <v>64</v>
      </c>
      <c r="E376" s="183">
        <f t="shared" si="11"/>
        <v>0.8</v>
      </c>
      <c r="F376" s="179">
        <f t="shared" si="12"/>
        <v>51.2</v>
      </c>
    </row>
    <row r="377" spans="1:6">
      <c r="A377" s="177">
        <v>120240000</v>
      </c>
      <c r="B377" s="177">
        <v>3142494</v>
      </c>
      <c r="C377" s="177">
        <v>311</v>
      </c>
      <c r="D377" s="179">
        <v>98</v>
      </c>
      <c r="E377" s="183">
        <f t="shared" si="11"/>
        <v>0.8</v>
      </c>
      <c r="F377" s="179">
        <f t="shared" si="12"/>
        <v>78.400000000000006</v>
      </c>
    </row>
    <row r="378" spans="1:6">
      <c r="A378" s="177">
        <v>80140100</v>
      </c>
      <c r="B378" s="177">
        <v>3143187</v>
      </c>
      <c r="C378" s="177">
        <v>401</v>
      </c>
      <c r="D378" s="179">
        <v>111</v>
      </c>
      <c r="E378" s="183">
        <f t="shared" si="11"/>
        <v>1</v>
      </c>
      <c r="F378" s="179">
        <f t="shared" si="12"/>
        <v>111</v>
      </c>
    </row>
    <row r="379" spans="1:6">
      <c r="A379" s="177">
        <v>564810000</v>
      </c>
      <c r="B379" s="177">
        <v>3143310</v>
      </c>
      <c r="C379" s="177">
        <v>401</v>
      </c>
      <c r="D379" s="179">
        <v>76</v>
      </c>
      <c r="E379" s="183">
        <f t="shared" si="11"/>
        <v>0.8</v>
      </c>
      <c r="F379" s="179">
        <f t="shared" si="12"/>
        <v>60.800000000000004</v>
      </c>
    </row>
    <row r="380" spans="1:6">
      <c r="A380" s="177">
        <v>616110000</v>
      </c>
      <c r="B380" s="177">
        <v>3143633</v>
      </c>
      <c r="C380" s="177">
        <v>401</v>
      </c>
      <c r="D380" s="179">
        <v>73</v>
      </c>
      <c r="E380" s="183">
        <f t="shared" si="11"/>
        <v>0.8</v>
      </c>
      <c r="F380" s="179">
        <f t="shared" si="12"/>
        <v>58.400000000000006</v>
      </c>
    </row>
    <row r="381" spans="1:6">
      <c r="A381" s="177">
        <v>639470000</v>
      </c>
      <c r="B381" s="177">
        <v>3144029</v>
      </c>
      <c r="C381" s="177">
        <v>390</v>
      </c>
      <c r="D381" s="179">
        <v>573</v>
      </c>
      <c r="E381" s="183">
        <f t="shared" si="11"/>
        <v>1.2</v>
      </c>
      <c r="F381" s="179">
        <f t="shared" si="12"/>
        <v>687.6</v>
      </c>
    </row>
    <row r="382" spans="1:6">
      <c r="A382" s="177">
        <v>831310000</v>
      </c>
      <c r="B382" s="177">
        <v>3145109</v>
      </c>
      <c r="C382" s="177">
        <v>311</v>
      </c>
      <c r="D382" s="179">
        <v>48</v>
      </c>
      <c r="E382" s="183">
        <f t="shared" si="11"/>
        <v>0.8</v>
      </c>
      <c r="F382" s="179">
        <f t="shared" si="12"/>
        <v>38.400000000000006</v>
      </c>
    </row>
    <row r="383" spans="1:6">
      <c r="A383" s="177">
        <v>673170000</v>
      </c>
      <c r="B383" s="177">
        <v>3146800</v>
      </c>
      <c r="C383" s="177">
        <v>390</v>
      </c>
      <c r="D383" s="179">
        <v>225</v>
      </c>
      <c r="E383" s="183">
        <f t="shared" si="11"/>
        <v>1</v>
      </c>
      <c r="F383" s="179">
        <f t="shared" si="12"/>
        <v>225</v>
      </c>
    </row>
    <row r="384" spans="1:6">
      <c r="A384" s="177">
        <v>150000000</v>
      </c>
      <c r="B384" s="177">
        <v>3148798</v>
      </c>
      <c r="C384" s="177">
        <v>311</v>
      </c>
      <c r="D384" s="179">
        <v>56</v>
      </c>
      <c r="E384" s="183">
        <f t="shared" si="11"/>
        <v>0.8</v>
      </c>
      <c r="F384" s="179">
        <f t="shared" si="12"/>
        <v>44.800000000000004</v>
      </c>
    </row>
    <row r="385" spans="1:6">
      <c r="A385" s="177">
        <v>108610100</v>
      </c>
      <c r="B385" s="177">
        <v>3149127</v>
      </c>
      <c r="C385" s="177">
        <v>311</v>
      </c>
      <c r="D385" s="179">
        <v>54</v>
      </c>
      <c r="E385" s="183">
        <f t="shared" si="11"/>
        <v>0.8</v>
      </c>
      <c r="F385" s="179">
        <f t="shared" si="12"/>
        <v>43.2</v>
      </c>
    </row>
    <row r="386" spans="1:6">
      <c r="A386" s="177">
        <v>191100000</v>
      </c>
      <c r="B386" s="177">
        <v>3149259</v>
      </c>
      <c r="C386" s="177">
        <v>311</v>
      </c>
      <c r="D386" s="179">
        <v>60</v>
      </c>
      <c r="E386" s="183">
        <f t="shared" si="11"/>
        <v>0.8</v>
      </c>
      <c r="F386" s="179">
        <f t="shared" si="12"/>
        <v>48</v>
      </c>
    </row>
    <row r="387" spans="1:6">
      <c r="A387" s="177">
        <v>653090000</v>
      </c>
      <c r="B387" s="177">
        <v>3152089</v>
      </c>
      <c r="C387" s="177">
        <v>390</v>
      </c>
      <c r="D387" s="179">
        <v>389</v>
      </c>
      <c r="E387" s="183">
        <f t="shared" si="11"/>
        <v>1</v>
      </c>
      <c r="F387" s="179">
        <f t="shared" si="12"/>
        <v>389</v>
      </c>
    </row>
    <row r="388" spans="1:6">
      <c r="A388" s="177">
        <v>170290000</v>
      </c>
      <c r="B388" s="177">
        <v>3153301</v>
      </c>
      <c r="C388" s="177">
        <v>401</v>
      </c>
      <c r="D388" s="179">
        <v>58</v>
      </c>
      <c r="E388" s="183">
        <f t="shared" si="11"/>
        <v>0.8</v>
      </c>
      <c r="F388" s="179">
        <f t="shared" si="12"/>
        <v>46.400000000000006</v>
      </c>
    </row>
    <row r="389" spans="1:6">
      <c r="A389" s="177">
        <v>795370000</v>
      </c>
      <c r="B389" s="177">
        <v>3154788</v>
      </c>
      <c r="C389" s="177">
        <v>315</v>
      </c>
      <c r="D389" s="179">
        <v>29</v>
      </c>
      <c r="E389" s="183">
        <f t="shared" si="11"/>
        <v>0.8</v>
      </c>
      <c r="F389" s="179">
        <f t="shared" si="12"/>
        <v>23.200000000000003</v>
      </c>
    </row>
    <row r="390" spans="1:6">
      <c r="A390" s="177">
        <v>74120100</v>
      </c>
      <c r="B390" s="177">
        <v>3155272</v>
      </c>
      <c r="C390" s="177">
        <v>401</v>
      </c>
      <c r="D390" s="179">
        <v>94</v>
      </c>
      <c r="E390" s="183">
        <f t="shared" si="11"/>
        <v>0.8</v>
      </c>
      <c r="F390" s="179">
        <f t="shared" si="12"/>
        <v>75.2</v>
      </c>
    </row>
    <row r="391" spans="1:6">
      <c r="A391" s="177">
        <v>315570100</v>
      </c>
      <c r="B391" s="177">
        <v>3155701</v>
      </c>
      <c r="C391" s="177">
        <v>311</v>
      </c>
      <c r="D391" s="179">
        <v>18</v>
      </c>
      <c r="E391" s="183">
        <f t="shared" si="11"/>
        <v>0.8</v>
      </c>
      <c r="F391" s="179">
        <f t="shared" si="12"/>
        <v>14.4</v>
      </c>
    </row>
    <row r="392" spans="1:6">
      <c r="A392" s="177">
        <v>178980000</v>
      </c>
      <c r="B392" s="177">
        <v>3156924</v>
      </c>
      <c r="C392" s="177">
        <v>311</v>
      </c>
      <c r="D392" s="179">
        <v>72</v>
      </c>
      <c r="E392" s="183">
        <f t="shared" si="11"/>
        <v>0.8</v>
      </c>
      <c r="F392" s="179">
        <f t="shared" si="12"/>
        <v>57.6</v>
      </c>
    </row>
    <row r="393" spans="1:6">
      <c r="A393" s="177">
        <v>140220200</v>
      </c>
      <c r="B393" s="177">
        <v>3158557</v>
      </c>
      <c r="C393" s="177">
        <v>311</v>
      </c>
      <c r="D393" s="179">
        <v>53</v>
      </c>
      <c r="E393" s="183">
        <f t="shared" si="11"/>
        <v>0.8</v>
      </c>
      <c r="F393" s="179">
        <f t="shared" si="12"/>
        <v>42.400000000000006</v>
      </c>
    </row>
    <row r="394" spans="1:6">
      <c r="A394" s="177">
        <v>664380000</v>
      </c>
      <c r="B394" s="177">
        <v>3158607</v>
      </c>
      <c r="C394" s="177">
        <v>390</v>
      </c>
      <c r="D394" s="179">
        <v>54</v>
      </c>
      <c r="E394" s="183">
        <f t="shared" si="11"/>
        <v>0.8</v>
      </c>
      <c r="F394" s="179">
        <f t="shared" si="12"/>
        <v>43.2</v>
      </c>
    </row>
    <row r="395" spans="1:6">
      <c r="A395" s="177">
        <v>135870100</v>
      </c>
      <c r="B395" s="177">
        <v>3162369</v>
      </c>
      <c r="C395" s="177">
        <v>401</v>
      </c>
      <c r="D395" s="179">
        <v>8</v>
      </c>
      <c r="E395" s="183">
        <f t="shared" ref="E395:E458" si="13">VLOOKUP(D395,$A$3:$C$7,3,TRUE)</f>
        <v>0.8</v>
      </c>
      <c r="F395" s="179">
        <f t="shared" ref="F395:F458" si="14">VLOOKUP(D395,$A$3:$C$7,3,TRUE)*D395</f>
        <v>6.4</v>
      </c>
    </row>
    <row r="396" spans="1:6">
      <c r="A396" s="177">
        <v>659510000</v>
      </c>
      <c r="B396" s="177">
        <v>3176278</v>
      </c>
      <c r="C396" s="177">
        <v>390</v>
      </c>
      <c r="D396" s="179">
        <v>317</v>
      </c>
      <c r="E396" s="183">
        <f t="shared" si="13"/>
        <v>1</v>
      </c>
      <c r="F396" s="179">
        <f t="shared" si="14"/>
        <v>317</v>
      </c>
    </row>
    <row r="397" spans="1:6">
      <c r="A397" s="177">
        <v>186320200</v>
      </c>
      <c r="B397" s="177">
        <v>3180288</v>
      </c>
      <c r="C397" s="177">
        <v>311</v>
      </c>
      <c r="D397" s="179">
        <v>261</v>
      </c>
      <c r="E397" s="183">
        <f t="shared" si="13"/>
        <v>1</v>
      </c>
      <c r="F397" s="179">
        <f t="shared" si="14"/>
        <v>261</v>
      </c>
    </row>
    <row r="398" spans="1:6">
      <c r="A398" s="177">
        <v>131810100</v>
      </c>
      <c r="B398" s="177">
        <v>3180791</v>
      </c>
      <c r="C398" s="177">
        <v>311</v>
      </c>
      <c r="D398" s="179">
        <v>44</v>
      </c>
      <c r="E398" s="183">
        <f t="shared" si="13"/>
        <v>0.8</v>
      </c>
      <c r="F398" s="179">
        <f t="shared" si="14"/>
        <v>35.200000000000003</v>
      </c>
    </row>
    <row r="399" spans="1:6">
      <c r="A399" s="177">
        <v>400187800</v>
      </c>
      <c r="B399" s="177">
        <v>3181245</v>
      </c>
      <c r="C399" s="177">
        <v>661</v>
      </c>
      <c r="D399" s="179">
        <v>851</v>
      </c>
      <c r="E399" s="183">
        <f t="shared" si="13"/>
        <v>1.2</v>
      </c>
      <c r="F399" s="179">
        <f t="shared" si="14"/>
        <v>1021.1999999999999</v>
      </c>
    </row>
    <row r="400" spans="1:6">
      <c r="A400" s="177">
        <v>179280000</v>
      </c>
      <c r="B400" s="177">
        <v>3181799</v>
      </c>
      <c r="C400" s="177">
        <v>311</v>
      </c>
      <c r="D400" s="179">
        <v>17</v>
      </c>
      <c r="E400" s="183">
        <f t="shared" si="13"/>
        <v>0.8</v>
      </c>
      <c r="F400" s="179">
        <f t="shared" si="14"/>
        <v>13.600000000000001</v>
      </c>
    </row>
    <row r="401" spans="1:6">
      <c r="A401" s="177">
        <v>380300000</v>
      </c>
      <c r="B401" s="177">
        <v>3188554</v>
      </c>
      <c r="C401" s="177">
        <v>401</v>
      </c>
      <c r="D401" s="179">
        <v>36</v>
      </c>
      <c r="E401" s="183">
        <f t="shared" si="13"/>
        <v>0.8</v>
      </c>
      <c r="F401" s="179">
        <f t="shared" si="14"/>
        <v>28.8</v>
      </c>
    </row>
    <row r="402" spans="1:6">
      <c r="A402" s="177">
        <v>389340000</v>
      </c>
      <c r="B402" s="177">
        <v>3188604</v>
      </c>
      <c r="C402" s="177">
        <v>401</v>
      </c>
      <c r="D402" s="179">
        <v>39</v>
      </c>
      <c r="E402" s="183">
        <f t="shared" si="13"/>
        <v>0.8</v>
      </c>
      <c r="F402" s="179">
        <f t="shared" si="14"/>
        <v>31.200000000000003</v>
      </c>
    </row>
    <row r="403" spans="1:6">
      <c r="A403" s="177">
        <v>400053700</v>
      </c>
      <c r="B403" s="177">
        <v>3188885</v>
      </c>
      <c r="C403" s="177">
        <v>661</v>
      </c>
      <c r="D403" s="179">
        <v>500</v>
      </c>
      <c r="E403" s="183">
        <f t="shared" si="13"/>
        <v>1.2</v>
      </c>
      <c r="F403" s="179">
        <f t="shared" si="14"/>
        <v>600</v>
      </c>
    </row>
    <row r="404" spans="1:6">
      <c r="A404" s="177">
        <v>400053800</v>
      </c>
      <c r="B404" s="177">
        <v>3188885</v>
      </c>
      <c r="C404" s="177">
        <v>661</v>
      </c>
      <c r="D404" s="179">
        <v>500</v>
      </c>
      <c r="E404" s="183">
        <f t="shared" si="13"/>
        <v>1.2</v>
      </c>
      <c r="F404" s="179">
        <f t="shared" si="14"/>
        <v>600</v>
      </c>
    </row>
    <row r="405" spans="1:6">
      <c r="A405" s="177">
        <v>400054600</v>
      </c>
      <c r="B405" s="177">
        <v>3188885</v>
      </c>
      <c r="C405" s="177">
        <v>661</v>
      </c>
      <c r="D405" s="179">
        <v>500</v>
      </c>
      <c r="E405" s="183">
        <f t="shared" si="13"/>
        <v>1.2</v>
      </c>
      <c r="F405" s="179">
        <f t="shared" si="14"/>
        <v>600</v>
      </c>
    </row>
    <row r="406" spans="1:6">
      <c r="A406" s="177">
        <v>400055100</v>
      </c>
      <c r="B406" s="177">
        <v>3188885</v>
      </c>
      <c r="C406" s="177">
        <v>661</v>
      </c>
      <c r="D406" s="179">
        <v>500</v>
      </c>
      <c r="E406" s="183">
        <f t="shared" si="13"/>
        <v>1.2</v>
      </c>
      <c r="F406" s="179">
        <f t="shared" si="14"/>
        <v>600</v>
      </c>
    </row>
    <row r="407" spans="1:6">
      <c r="A407" s="177">
        <v>400055500</v>
      </c>
      <c r="B407" s="177">
        <v>3188885</v>
      </c>
      <c r="C407" s="177">
        <v>661</v>
      </c>
      <c r="D407" s="179">
        <v>500</v>
      </c>
      <c r="E407" s="183">
        <f t="shared" si="13"/>
        <v>1.2</v>
      </c>
      <c r="F407" s="179">
        <f t="shared" si="14"/>
        <v>600</v>
      </c>
    </row>
    <row r="408" spans="1:6">
      <c r="A408" s="177">
        <v>400055600</v>
      </c>
      <c r="B408" s="177">
        <v>3188885</v>
      </c>
      <c r="C408" s="177">
        <v>661</v>
      </c>
      <c r="D408" s="179">
        <v>500</v>
      </c>
      <c r="E408" s="183">
        <f t="shared" si="13"/>
        <v>1.2</v>
      </c>
      <c r="F408" s="179">
        <f t="shared" si="14"/>
        <v>600</v>
      </c>
    </row>
    <row r="409" spans="1:6">
      <c r="A409" s="177">
        <v>400076100</v>
      </c>
      <c r="B409" s="177">
        <v>3188885</v>
      </c>
      <c r="C409" s="177">
        <v>661</v>
      </c>
      <c r="D409" s="179">
        <v>507</v>
      </c>
      <c r="E409" s="183">
        <f t="shared" si="13"/>
        <v>1.2</v>
      </c>
      <c r="F409" s="179">
        <f t="shared" si="14"/>
        <v>608.4</v>
      </c>
    </row>
    <row r="410" spans="1:6">
      <c r="A410" s="177">
        <v>400077200</v>
      </c>
      <c r="B410" s="177">
        <v>3188885</v>
      </c>
      <c r="C410" s="177">
        <v>661</v>
      </c>
      <c r="D410" s="179">
        <v>501</v>
      </c>
      <c r="E410" s="183">
        <f t="shared" si="13"/>
        <v>1.2</v>
      </c>
      <c r="F410" s="179">
        <f t="shared" si="14"/>
        <v>601.19999999999993</v>
      </c>
    </row>
    <row r="411" spans="1:6">
      <c r="A411" s="177">
        <v>295830000</v>
      </c>
      <c r="B411" s="177">
        <v>3188950</v>
      </c>
      <c r="C411" s="177">
        <v>315</v>
      </c>
      <c r="D411" s="179">
        <v>35</v>
      </c>
      <c r="E411" s="183">
        <f t="shared" si="13"/>
        <v>0.8</v>
      </c>
      <c r="F411" s="179">
        <f t="shared" si="14"/>
        <v>28</v>
      </c>
    </row>
    <row r="412" spans="1:6">
      <c r="A412" s="177">
        <v>841480000</v>
      </c>
      <c r="B412" s="177">
        <v>3191046</v>
      </c>
      <c r="C412" s="177">
        <v>311</v>
      </c>
      <c r="D412" s="179">
        <v>178</v>
      </c>
      <c r="E412" s="183">
        <f t="shared" si="13"/>
        <v>1</v>
      </c>
      <c r="F412" s="179">
        <f t="shared" si="14"/>
        <v>178</v>
      </c>
    </row>
    <row r="413" spans="1:6">
      <c r="A413" s="177">
        <v>150400200</v>
      </c>
      <c r="B413" s="177">
        <v>3193646</v>
      </c>
      <c r="C413" s="177">
        <v>401</v>
      </c>
      <c r="D413" s="179">
        <v>135</v>
      </c>
      <c r="E413" s="183">
        <f t="shared" si="13"/>
        <v>1</v>
      </c>
      <c r="F413" s="179">
        <f t="shared" si="14"/>
        <v>135</v>
      </c>
    </row>
    <row r="414" spans="1:6">
      <c r="A414" s="177">
        <v>619790000</v>
      </c>
      <c r="B414" s="177">
        <v>3193646</v>
      </c>
      <c r="C414" s="177">
        <v>810</v>
      </c>
      <c r="D414" s="179">
        <v>422</v>
      </c>
      <c r="E414" s="183">
        <f t="shared" si="13"/>
        <v>1</v>
      </c>
      <c r="F414" s="179">
        <f t="shared" si="14"/>
        <v>422</v>
      </c>
    </row>
    <row r="415" spans="1:6">
      <c r="A415" s="177">
        <v>16930000</v>
      </c>
      <c r="B415" s="177">
        <v>3193760</v>
      </c>
      <c r="C415" s="177">
        <v>401</v>
      </c>
      <c r="D415" s="179">
        <v>91</v>
      </c>
      <c r="E415" s="183">
        <f t="shared" si="13"/>
        <v>0.8</v>
      </c>
      <c r="F415" s="179">
        <f t="shared" si="14"/>
        <v>72.8</v>
      </c>
    </row>
    <row r="416" spans="1:6">
      <c r="A416" s="177">
        <v>804270000</v>
      </c>
      <c r="B416" s="177">
        <v>3193902</v>
      </c>
      <c r="C416" s="177">
        <v>313</v>
      </c>
      <c r="D416" s="179">
        <v>646</v>
      </c>
      <c r="E416" s="183">
        <f t="shared" si="13"/>
        <v>1.2</v>
      </c>
      <c r="F416" s="179">
        <f t="shared" si="14"/>
        <v>775.19999999999993</v>
      </c>
    </row>
    <row r="417" spans="1:6">
      <c r="A417" s="177">
        <v>952140000</v>
      </c>
      <c r="B417" s="177">
        <v>3193902</v>
      </c>
      <c r="C417" s="177">
        <v>323</v>
      </c>
      <c r="D417" s="179">
        <v>5482</v>
      </c>
      <c r="E417" s="183">
        <f t="shared" si="13"/>
        <v>0.6</v>
      </c>
      <c r="F417" s="179">
        <f t="shared" si="14"/>
        <v>3289.2</v>
      </c>
    </row>
    <row r="418" spans="1:6">
      <c r="A418" s="177">
        <v>952150000</v>
      </c>
      <c r="B418" s="177">
        <v>3193902</v>
      </c>
      <c r="C418" s="177">
        <v>811</v>
      </c>
      <c r="D418" s="179">
        <v>3455</v>
      </c>
      <c r="E418" s="183">
        <f t="shared" si="13"/>
        <v>0.8</v>
      </c>
      <c r="F418" s="179">
        <f t="shared" si="14"/>
        <v>2764</v>
      </c>
    </row>
    <row r="419" spans="1:6">
      <c r="A419" s="177">
        <v>638080000</v>
      </c>
      <c r="B419" s="177">
        <v>3197258</v>
      </c>
      <c r="C419" s="177">
        <v>311</v>
      </c>
      <c r="D419" s="179">
        <v>114</v>
      </c>
      <c r="E419" s="183">
        <f t="shared" si="13"/>
        <v>1</v>
      </c>
      <c r="F419" s="179">
        <f t="shared" si="14"/>
        <v>114</v>
      </c>
    </row>
    <row r="420" spans="1:6">
      <c r="A420" s="177">
        <v>166440100</v>
      </c>
      <c r="B420" s="177">
        <v>3198140</v>
      </c>
      <c r="C420" s="177">
        <v>315</v>
      </c>
      <c r="D420" s="179">
        <v>31</v>
      </c>
      <c r="E420" s="183">
        <f t="shared" si="13"/>
        <v>0.8</v>
      </c>
      <c r="F420" s="179">
        <f t="shared" si="14"/>
        <v>24.8</v>
      </c>
    </row>
    <row r="421" spans="1:6">
      <c r="A421" s="177">
        <v>89170400</v>
      </c>
      <c r="B421" s="177">
        <v>3198629</v>
      </c>
      <c r="C421" s="177">
        <v>401</v>
      </c>
      <c r="D421" s="179">
        <v>192</v>
      </c>
      <c r="E421" s="183">
        <f t="shared" si="13"/>
        <v>1</v>
      </c>
      <c r="F421" s="179">
        <f t="shared" si="14"/>
        <v>192</v>
      </c>
    </row>
    <row r="422" spans="1:6">
      <c r="A422" s="177">
        <v>289800000</v>
      </c>
      <c r="B422" s="177">
        <v>3202454</v>
      </c>
      <c r="C422" s="177">
        <v>401</v>
      </c>
      <c r="D422" s="179">
        <v>204</v>
      </c>
      <c r="E422" s="183">
        <f t="shared" si="13"/>
        <v>1</v>
      </c>
      <c r="F422" s="179">
        <f t="shared" si="14"/>
        <v>204</v>
      </c>
    </row>
    <row r="423" spans="1:6">
      <c r="A423" s="177">
        <v>93420100</v>
      </c>
      <c r="B423" s="177">
        <v>3202504</v>
      </c>
      <c r="C423" s="177">
        <v>321</v>
      </c>
      <c r="D423" s="179">
        <v>60</v>
      </c>
      <c r="E423" s="183">
        <f t="shared" si="13"/>
        <v>0.8</v>
      </c>
      <c r="F423" s="179">
        <f t="shared" si="14"/>
        <v>48</v>
      </c>
    </row>
    <row r="424" spans="1:6">
      <c r="A424" s="177">
        <v>133750000</v>
      </c>
      <c r="B424" s="177">
        <v>3202694</v>
      </c>
      <c r="C424" s="177">
        <v>311</v>
      </c>
      <c r="D424" s="179">
        <v>12</v>
      </c>
      <c r="E424" s="183">
        <f t="shared" si="13"/>
        <v>0.8</v>
      </c>
      <c r="F424" s="179">
        <f t="shared" si="14"/>
        <v>9.6000000000000014</v>
      </c>
    </row>
    <row r="425" spans="1:6">
      <c r="A425" s="177">
        <v>320290000</v>
      </c>
      <c r="B425" s="177">
        <v>3202900</v>
      </c>
      <c r="C425" s="177">
        <v>311</v>
      </c>
      <c r="D425" s="179">
        <v>80</v>
      </c>
      <c r="E425" s="183">
        <f t="shared" si="13"/>
        <v>0.8</v>
      </c>
      <c r="F425" s="179">
        <f t="shared" si="14"/>
        <v>64</v>
      </c>
    </row>
    <row r="426" spans="1:6">
      <c r="A426" s="177">
        <v>320290100</v>
      </c>
      <c r="B426" s="177">
        <v>3202900</v>
      </c>
      <c r="C426" s="177">
        <v>401</v>
      </c>
      <c r="D426" s="179">
        <v>32</v>
      </c>
      <c r="E426" s="183">
        <f t="shared" si="13"/>
        <v>0.8</v>
      </c>
      <c r="F426" s="179">
        <f t="shared" si="14"/>
        <v>25.6</v>
      </c>
    </row>
    <row r="427" spans="1:6">
      <c r="A427" s="177">
        <v>148570000</v>
      </c>
      <c r="B427" s="177">
        <v>3203601</v>
      </c>
      <c r="C427" s="177">
        <v>315</v>
      </c>
      <c r="D427" s="179">
        <v>55</v>
      </c>
      <c r="E427" s="183">
        <f t="shared" si="13"/>
        <v>0.8</v>
      </c>
      <c r="F427" s="179">
        <f t="shared" si="14"/>
        <v>44</v>
      </c>
    </row>
    <row r="428" spans="1:6">
      <c r="A428" s="177">
        <v>400188900</v>
      </c>
      <c r="B428" s="177">
        <v>3206208</v>
      </c>
      <c r="C428" s="177">
        <v>661</v>
      </c>
      <c r="D428" s="179">
        <v>587</v>
      </c>
      <c r="E428" s="183">
        <f t="shared" si="13"/>
        <v>1.2</v>
      </c>
      <c r="F428" s="179">
        <f t="shared" si="14"/>
        <v>704.4</v>
      </c>
    </row>
    <row r="429" spans="1:6">
      <c r="A429" s="177">
        <v>378630000</v>
      </c>
      <c r="B429" s="177">
        <v>3206232</v>
      </c>
      <c r="C429" s="177">
        <v>315</v>
      </c>
      <c r="D429" s="179">
        <v>11</v>
      </c>
      <c r="E429" s="183">
        <f t="shared" si="13"/>
        <v>0.8</v>
      </c>
      <c r="F429" s="179">
        <f t="shared" si="14"/>
        <v>8.8000000000000007</v>
      </c>
    </row>
    <row r="430" spans="1:6">
      <c r="A430" s="177">
        <v>648980000</v>
      </c>
      <c r="B430" s="177">
        <v>3220076</v>
      </c>
      <c r="C430" s="177">
        <v>311</v>
      </c>
      <c r="D430" s="179">
        <v>17</v>
      </c>
      <c r="E430" s="183">
        <f t="shared" si="13"/>
        <v>0.8</v>
      </c>
      <c r="F430" s="179">
        <f t="shared" si="14"/>
        <v>13.600000000000001</v>
      </c>
    </row>
    <row r="431" spans="1:6">
      <c r="A431" s="177">
        <v>141570100</v>
      </c>
      <c r="B431" s="177">
        <v>3220696</v>
      </c>
      <c r="C431" s="177">
        <v>311</v>
      </c>
      <c r="D431" s="179">
        <v>162</v>
      </c>
      <c r="E431" s="183">
        <f t="shared" si="13"/>
        <v>1</v>
      </c>
      <c r="F431" s="179">
        <f t="shared" si="14"/>
        <v>162</v>
      </c>
    </row>
    <row r="432" spans="1:6">
      <c r="A432" s="177">
        <v>80710401</v>
      </c>
      <c r="B432" s="177">
        <v>3222288</v>
      </c>
      <c r="C432" s="177">
        <v>401</v>
      </c>
      <c r="D432" s="179">
        <v>178</v>
      </c>
      <c r="E432" s="183">
        <f t="shared" si="13"/>
        <v>1</v>
      </c>
      <c r="F432" s="179">
        <f t="shared" si="14"/>
        <v>178</v>
      </c>
    </row>
    <row r="433" spans="1:6">
      <c r="A433" s="177">
        <v>649790000</v>
      </c>
      <c r="B433" s="177">
        <v>3222288</v>
      </c>
      <c r="C433" s="177">
        <v>390</v>
      </c>
      <c r="D433" s="179">
        <v>1218</v>
      </c>
      <c r="E433" s="183">
        <f t="shared" si="13"/>
        <v>0.8</v>
      </c>
      <c r="F433" s="179">
        <f t="shared" si="14"/>
        <v>974.40000000000009</v>
      </c>
    </row>
    <row r="434" spans="1:6">
      <c r="A434" s="177">
        <v>641110100</v>
      </c>
      <c r="B434" s="177">
        <v>3223443</v>
      </c>
      <c r="C434" s="177">
        <v>401</v>
      </c>
      <c r="D434" s="179">
        <v>84</v>
      </c>
      <c r="E434" s="183">
        <f t="shared" si="13"/>
        <v>0.8</v>
      </c>
      <c r="F434" s="179">
        <f t="shared" si="14"/>
        <v>67.2</v>
      </c>
    </row>
    <row r="435" spans="1:6">
      <c r="A435" s="177">
        <v>524500000</v>
      </c>
      <c r="B435" s="177">
        <v>3229644</v>
      </c>
      <c r="C435" s="177">
        <v>415</v>
      </c>
      <c r="D435" s="179">
        <v>42</v>
      </c>
      <c r="E435" s="183">
        <f t="shared" si="13"/>
        <v>0.8</v>
      </c>
      <c r="F435" s="179">
        <f t="shared" si="14"/>
        <v>33.6</v>
      </c>
    </row>
    <row r="436" spans="1:6">
      <c r="A436" s="177">
        <v>671180000</v>
      </c>
      <c r="B436" s="177">
        <v>3229705</v>
      </c>
      <c r="C436" s="177">
        <v>311</v>
      </c>
      <c r="D436" s="179">
        <v>11</v>
      </c>
      <c r="E436" s="183">
        <f t="shared" si="13"/>
        <v>0.8</v>
      </c>
      <c r="F436" s="179">
        <f t="shared" si="14"/>
        <v>8.8000000000000007</v>
      </c>
    </row>
    <row r="437" spans="1:6">
      <c r="A437" s="177">
        <v>230688300</v>
      </c>
      <c r="B437" s="177">
        <v>3234440</v>
      </c>
      <c r="C437" s="177">
        <v>311</v>
      </c>
      <c r="D437" s="179">
        <v>23</v>
      </c>
      <c r="E437" s="183">
        <f t="shared" si="13"/>
        <v>0.8</v>
      </c>
      <c r="F437" s="179">
        <f t="shared" si="14"/>
        <v>18.400000000000002</v>
      </c>
    </row>
    <row r="438" spans="1:6">
      <c r="A438" s="177">
        <v>115480400</v>
      </c>
      <c r="B438" s="177">
        <v>3234689</v>
      </c>
      <c r="C438" s="177">
        <v>311</v>
      </c>
      <c r="D438" s="179">
        <v>211</v>
      </c>
      <c r="E438" s="183">
        <f t="shared" si="13"/>
        <v>1</v>
      </c>
      <c r="F438" s="179">
        <f t="shared" si="14"/>
        <v>211</v>
      </c>
    </row>
    <row r="439" spans="1:6">
      <c r="A439" s="177">
        <v>336910000</v>
      </c>
      <c r="B439" s="177">
        <v>3239977</v>
      </c>
      <c r="C439" s="177">
        <v>311</v>
      </c>
      <c r="D439" s="179">
        <v>38</v>
      </c>
      <c r="E439" s="183">
        <f t="shared" si="13"/>
        <v>0.8</v>
      </c>
      <c r="F439" s="179">
        <f t="shared" si="14"/>
        <v>30.400000000000002</v>
      </c>
    </row>
    <row r="440" spans="1:6">
      <c r="A440" s="177">
        <v>179010000</v>
      </c>
      <c r="B440" s="177">
        <v>3243771</v>
      </c>
      <c r="C440" s="177">
        <v>401</v>
      </c>
      <c r="D440" s="179">
        <v>35</v>
      </c>
      <c r="E440" s="183">
        <f t="shared" si="13"/>
        <v>0.8</v>
      </c>
      <c r="F440" s="179">
        <f t="shared" si="14"/>
        <v>28</v>
      </c>
    </row>
    <row r="441" spans="1:6">
      <c r="A441" s="177">
        <v>629830000</v>
      </c>
      <c r="B441" s="177">
        <v>3244266</v>
      </c>
      <c r="C441" s="177">
        <v>390</v>
      </c>
      <c r="D441" s="179">
        <v>198</v>
      </c>
      <c r="E441" s="183">
        <f t="shared" si="13"/>
        <v>1</v>
      </c>
      <c r="F441" s="179">
        <f t="shared" si="14"/>
        <v>198</v>
      </c>
    </row>
    <row r="442" spans="1:6">
      <c r="A442" s="177">
        <v>154460100</v>
      </c>
      <c r="B442" s="177">
        <v>3245024</v>
      </c>
      <c r="C442" s="177">
        <v>311</v>
      </c>
      <c r="D442" s="179">
        <v>38</v>
      </c>
      <c r="E442" s="183">
        <f t="shared" si="13"/>
        <v>0.8</v>
      </c>
      <c r="F442" s="179">
        <f t="shared" si="14"/>
        <v>30.400000000000002</v>
      </c>
    </row>
    <row r="443" spans="1:6">
      <c r="A443" s="177">
        <v>164240000</v>
      </c>
      <c r="B443" s="177">
        <v>3245073</v>
      </c>
      <c r="C443" s="177">
        <v>315</v>
      </c>
      <c r="D443" s="179">
        <v>98</v>
      </c>
      <c r="E443" s="183">
        <f t="shared" si="13"/>
        <v>0.8</v>
      </c>
      <c r="F443" s="179">
        <f t="shared" si="14"/>
        <v>78.400000000000006</v>
      </c>
    </row>
    <row r="444" spans="1:6">
      <c r="A444" s="177">
        <v>823130000</v>
      </c>
      <c r="B444" s="177">
        <v>3247376</v>
      </c>
      <c r="C444" s="177">
        <v>311</v>
      </c>
      <c r="D444" s="179">
        <v>30</v>
      </c>
      <c r="E444" s="183">
        <f t="shared" si="13"/>
        <v>0.8</v>
      </c>
      <c r="F444" s="179">
        <f t="shared" si="14"/>
        <v>24</v>
      </c>
    </row>
    <row r="445" spans="1:6">
      <c r="A445" s="177">
        <v>203280100</v>
      </c>
      <c r="B445" s="177">
        <v>3248564</v>
      </c>
      <c r="C445" s="177">
        <v>401</v>
      </c>
      <c r="D445" s="179">
        <v>50</v>
      </c>
      <c r="E445" s="183">
        <f t="shared" si="13"/>
        <v>0.8</v>
      </c>
      <c r="F445" s="179">
        <f t="shared" si="14"/>
        <v>40</v>
      </c>
    </row>
    <row r="446" spans="1:6">
      <c r="A446" s="177">
        <v>769490100</v>
      </c>
      <c r="B446" s="177">
        <v>3248952</v>
      </c>
      <c r="C446" s="177">
        <v>311</v>
      </c>
      <c r="D446" s="179">
        <v>60</v>
      </c>
      <c r="E446" s="183">
        <f t="shared" si="13"/>
        <v>0.8</v>
      </c>
      <c r="F446" s="179">
        <f t="shared" si="14"/>
        <v>48</v>
      </c>
    </row>
    <row r="447" spans="1:6">
      <c r="A447" s="177">
        <v>154940000</v>
      </c>
      <c r="B447" s="177">
        <v>3249893</v>
      </c>
      <c r="C447" s="177">
        <v>311</v>
      </c>
      <c r="D447" s="179">
        <v>41</v>
      </c>
      <c r="E447" s="183">
        <f t="shared" si="13"/>
        <v>0.8</v>
      </c>
      <c r="F447" s="179">
        <f t="shared" si="14"/>
        <v>32.800000000000004</v>
      </c>
    </row>
    <row r="448" spans="1:6">
      <c r="A448" s="177">
        <v>102510300</v>
      </c>
      <c r="B448" s="177">
        <v>3250214</v>
      </c>
      <c r="C448" s="177">
        <v>311</v>
      </c>
      <c r="D448" s="179">
        <v>58</v>
      </c>
      <c r="E448" s="183">
        <f t="shared" si="13"/>
        <v>0.8</v>
      </c>
      <c r="F448" s="179">
        <f t="shared" si="14"/>
        <v>46.400000000000006</v>
      </c>
    </row>
    <row r="449" spans="1:6">
      <c r="A449" s="177">
        <v>188150200</v>
      </c>
      <c r="B449" s="177">
        <v>3251998</v>
      </c>
      <c r="C449" s="177">
        <v>315</v>
      </c>
      <c r="D449" s="179">
        <v>28</v>
      </c>
      <c r="E449" s="183">
        <f t="shared" si="13"/>
        <v>0.8</v>
      </c>
      <c r="F449" s="179">
        <f t="shared" si="14"/>
        <v>22.400000000000002</v>
      </c>
    </row>
    <row r="450" spans="1:6">
      <c r="A450" s="177">
        <v>139840100</v>
      </c>
      <c r="B450" s="177">
        <v>3253457</v>
      </c>
      <c r="C450" s="177">
        <v>311</v>
      </c>
      <c r="D450" s="179">
        <v>53</v>
      </c>
      <c r="E450" s="183">
        <f t="shared" si="13"/>
        <v>0.8</v>
      </c>
      <c r="F450" s="179">
        <f t="shared" si="14"/>
        <v>42.400000000000006</v>
      </c>
    </row>
    <row r="451" spans="1:6">
      <c r="A451" s="177">
        <v>195120100</v>
      </c>
      <c r="B451" s="177">
        <v>3254273</v>
      </c>
      <c r="C451" s="177">
        <v>311</v>
      </c>
      <c r="D451" s="179">
        <v>141</v>
      </c>
      <c r="E451" s="183">
        <f t="shared" si="13"/>
        <v>1</v>
      </c>
      <c r="F451" s="179">
        <f t="shared" si="14"/>
        <v>141</v>
      </c>
    </row>
    <row r="452" spans="1:6">
      <c r="A452" s="177">
        <v>141000000</v>
      </c>
      <c r="B452" s="177">
        <v>3257565</v>
      </c>
      <c r="C452" s="177">
        <v>311</v>
      </c>
      <c r="D452" s="179">
        <v>43</v>
      </c>
      <c r="E452" s="183">
        <f t="shared" si="13"/>
        <v>0.8</v>
      </c>
      <c r="F452" s="179">
        <f t="shared" si="14"/>
        <v>34.4</v>
      </c>
    </row>
    <row r="453" spans="1:6">
      <c r="A453" s="177">
        <v>889800200</v>
      </c>
      <c r="B453" s="177">
        <v>3260205</v>
      </c>
      <c r="C453" s="177">
        <v>401</v>
      </c>
      <c r="D453" s="179">
        <v>441</v>
      </c>
      <c r="E453" s="183">
        <f t="shared" si="13"/>
        <v>1</v>
      </c>
      <c r="F453" s="179">
        <f t="shared" si="14"/>
        <v>441</v>
      </c>
    </row>
    <row r="454" spans="1:6">
      <c r="A454" s="177">
        <v>600420000</v>
      </c>
      <c r="B454" s="177">
        <v>3263068</v>
      </c>
      <c r="C454" s="177">
        <v>311</v>
      </c>
      <c r="D454" s="179">
        <v>35</v>
      </c>
      <c r="E454" s="183">
        <f t="shared" si="13"/>
        <v>0.8</v>
      </c>
      <c r="F454" s="179">
        <f t="shared" si="14"/>
        <v>28</v>
      </c>
    </row>
    <row r="455" spans="1:6">
      <c r="A455" s="177">
        <v>648180000</v>
      </c>
      <c r="B455" s="177">
        <v>3269651</v>
      </c>
      <c r="C455" s="177">
        <v>390</v>
      </c>
      <c r="D455" s="179">
        <v>132</v>
      </c>
      <c r="E455" s="183">
        <f t="shared" si="13"/>
        <v>1</v>
      </c>
      <c r="F455" s="179">
        <f t="shared" si="14"/>
        <v>132</v>
      </c>
    </row>
    <row r="456" spans="1:6">
      <c r="A456" s="177">
        <v>386300000</v>
      </c>
      <c r="B456" s="177">
        <v>3269685</v>
      </c>
      <c r="C456" s="177">
        <v>311</v>
      </c>
      <c r="D456" s="179">
        <v>30</v>
      </c>
      <c r="E456" s="183">
        <f t="shared" si="13"/>
        <v>0.8</v>
      </c>
      <c r="F456" s="179">
        <f t="shared" si="14"/>
        <v>24</v>
      </c>
    </row>
    <row r="457" spans="1:6">
      <c r="A457" s="177">
        <v>648120000</v>
      </c>
      <c r="B457" s="177">
        <v>3269750</v>
      </c>
      <c r="C457" s="177">
        <v>311</v>
      </c>
      <c r="D457" s="179">
        <v>66</v>
      </c>
      <c r="E457" s="183">
        <f t="shared" si="13"/>
        <v>0.8</v>
      </c>
      <c r="F457" s="179">
        <f t="shared" si="14"/>
        <v>52.800000000000004</v>
      </c>
    </row>
    <row r="458" spans="1:6">
      <c r="A458" s="177">
        <v>648120100</v>
      </c>
      <c r="B458" s="177">
        <v>3269750</v>
      </c>
      <c r="C458" s="177">
        <v>401</v>
      </c>
      <c r="D458" s="179">
        <v>25</v>
      </c>
      <c r="E458" s="183">
        <f t="shared" si="13"/>
        <v>0.8</v>
      </c>
      <c r="F458" s="179">
        <f t="shared" si="14"/>
        <v>20</v>
      </c>
    </row>
    <row r="459" spans="1:6">
      <c r="A459" s="177">
        <v>400025500</v>
      </c>
      <c r="B459" s="177">
        <v>3276979</v>
      </c>
      <c r="C459" s="177">
        <v>662</v>
      </c>
      <c r="D459" s="179">
        <v>321</v>
      </c>
      <c r="E459" s="183">
        <f t="shared" ref="E459:E508" si="15">VLOOKUP(D459,$A$3:$C$7,3,TRUE)</f>
        <v>1</v>
      </c>
      <c r="F459" s="179">
        <f t="shared" ref="F459:F508" si="16">VLOOKUP(D459,$A$3:$C$7,3,TRUE)*D459</f>
        <v>321</v>
      </c>
    </row>
    <row r="460" spans="1:6">
      <c r="A460" s="177">
        <v>517020000</v>
      </c>
      <c r="B460" s="177">
        <v>3287364</v>
      </c>
      <c r="C460" s="177">
        <v>311</v>
      </c>
      <c r="D460" s="179">
        <v>61</v>
      </c>
      <c r="E460" s="183">
        <f t="shared" si="15"/>
        <v>0.8</v>
      </c>
      <c r="F460" s="179">
        <f t="shared" si="16"/>
        <v>48.800000000000004</v>
      </c>
    </row>
    <row r="461" spans="1:6">
      <c r="A461" s="177">
        <v>678460000</v>
      </c>
      <c r="B461" s="177">
        <v>3287364</v>
      </c>
      <c r="C461" s="177">
        <v>401</v>
      </c>
      <c r="D461" s="179">
        <v>60</v>
      </c>
      <c r="E461" s="183">
        <f t="shared" si="15"/>
        <v>0.8</v>
      </c>
      <c r="F461" s="179">
        <f t="shared" si="16"/>
        <v>48</v>
      </c>
    </row>
    <row r="462" spans="1:6">
      <c r="A462" s="177">
        <v>831350000</v>
      </c>
      <c r="B462" s="177">
        <v>3295169</v>
      </c>
      <c r="C462" s="177">
        <v>312</v>
      </c>
      <c r="D462" s="179">
        <v>53</v>
      </c>
      <c r="E462" s="183">
        <f t="shared" si="15"/>
        <v>0.8</v>
      </c>
      <c r="F462" s="179">
        <f t="shared" si="16"/>
        <v>42.400000000000006</v>
      </c>
    </row>
    <row r="463" spans="1:6">
      <c r="A463" s="177">
        <v>450090100</v>
      </c>
      <c r="B463" s="177">
        <v>3296589</v>
      </c>
      <c r="C463" s="177">
        <v>401</v>
      </c>
      <c r="D463" s="179">
        <v>45</v>
      </c>
      <c r="E463" s="183">
        <f t="shared" si="15"/>
        <v>0.8</v>
      </c>
      <c r="F463" s="179">
        <f t="shared" si="16"/>
        <v>36</v>
      </c>
    </row>
    <row r="464" spans="1:6">
      <c r="A464" s="177">
        <v>170190000</v>
      </c>
      <c r="B464" s="177">
        <v>3296688</v>
      </c>
      <c r="C464" s="177">
        <v>401</v>
      </c>
      <c r="D464" s="179">
        <v>78</v>
      </c>
      <c r="E464" s="183">
        <f t="shared" si="15"/>
        <v>0.8</v>
      </c>
      <c r="F464" s="179">
        <f t="shared" si="16"/>
        <v>62.400000000000006</v>
      </c>
    </row>
    <row r="465" spans="1:6">
      <c r="A465" s="177">
        <v>186900000</v>
      </c>
      <c r="B465" s="177">
        <v>3310265</v>
      </c>
      <c r="C465" s="177">
        <v>311</v>
      </c>
      <c r="D465" s="179">
        <v>53</v>
      </c>
      <c r="E465" s="183">
        <f t="shared" si="15"/>
        <v>0.8</v>
      </c>
      <c r="F465" s="179">
        <f t="shared" si="16"/>
        <v>42.400000000000006</v>
      </c>
    </row>
    <row r="466" spans="1:6">
      <c r="A466" s="177">
        <v>441260000</v>
      </c>
      <c r="B466" s="177">
        <v>3312253</v>
      </c>
      <c r="C466" s="177">
        <v>311</v>
      </c>
      <c r="D466" s="179">
        <v>68</v>
      </c>
      <c r="E466" s="183">
        <f t="shared" si="15"/>
        <v>0.8</v>
      </c>
      <c r="F466" s="179">
        <f t="shared" si="16"/>
        <v>54.400000000000006</v>
      </c>
    </row>
    <row r="467" spans="1:6">
      <c r="A467" s="177">
        <v>59110100</v>
      </c>
      <c r="B467" s="177">
        <v>3326741</v>
      </c>
      <c r="C467" s="177">
        <v>807</v>
      </c>
      <c r="D467" s="179">
        <v>85</v>
      </c>
      <c r="E467" s="183">
        <f t="shared" si="15"/>
        <v>0.8</v>
      </c>
      <c r="F467" s="179">
        <f t="shared" si="16"/>
        <v>68</v>
      </c>
    </row>
    <row r="468" spans="1:6">
      <c r="A468" s="177">
        <v>605810000</v>
      </c>
      <c r="B468" s="177">
        <v>3326741</v>
      </c>
      <c r="C468" s="177">
        <v>807</v>
      </c>
      <c r="D468" s="179">
        <v>114</v>
      </c>
      <c r="E468" s="183">
        <f t="shared" si="15"/>
        <v>1</v>
      </c>
      <c r="F468" s="179">
        <f t="shared" si="16"/>
        <v>114</v>
      </c>
    </row>
    <row r="469" spans="1:6">
      <c r="A469" s="177">
        <v>332740000</v>
      </c>
      <c r="B469" s="177">
        <v>3327400</v>
      </c>
      <c r="C469" s="177">
        <v>311</v>
      </c>
      <c r="D469" s="179">
        <v>56</v>
      </c>
      <c r="E469" s="183">
        <f t="shared" si="15"/>
        <v>0.8</v>
      </c>
      <c r="F469" s="179">
        <f t="shared" si="16"/>
        <v>44.800000000000004</v>
      </c>
    </row>
    <row r="470" spans="1:6">
      <c r="A470" s="177">
        <v>89540200</v>
      </c>
      <c r="B470" s="177">
        <v>3328093</v>
      </c>
      <c r="C470" s="177">
        <v>401</v>
      </c>
      <c r="D470" s="179">
        <v>145</v>
      </c>
      <c r="E470" s="183">
        <f t="shared" si="15"/>
        <v>1</v>
      </c>
      <c r="F470" s="179">
        <f t="shared" si="16"/>
        <v>145</v>
      </c>
    </row>
    <row r="471" spans="1:6">
      <c r="A471" s="177">
        <v>333550000</v>
      </c>
      <c r="B471" s="177">
        <v>3335500</v>
      </c>
      <c r="C471" s="177">
        <v>401</v>
      </c>
      <c r="D471" s="179">
        <v>100</v>
      </c>
      <c r="E471" s="183">
        <f t="shared" si="15"/>
        <v>1</v>
      </c>
      <c r="F471" s="179">
        <f t="shared" si="16"/>
        <v>100</v>
      </c>
    </row>
    <row r="472" spans="1:6">
      <c r="A472" s="177">
        <v>334120000</v>
      </c>
      <c r="B472" s="177">
        <v>3341200</v>
      </c>
      <c r="C472" s="177">
        <v>315</v>
      </c>
      <c r="D472" s="179">
        <v>10</v>
      </c>
      <c r="E472" s="183">
        <f t="shared" si="15"/>
        <v>0.8</v>
      </c>
      <c r="F472" s="179">
        <f t="shared" si="16"/>
        <v>8</v>
      </c>
    </row>
    <row r="473" spans="1:6">
      <c r="A473" s="177">
        <v>230530800</v>
      </c>
      <c r="B473" s="177">
        <v>3341856</v>
      </c>
      <c r="C473" s="177">
        <v>311</v>
      </c>
      <c r="D473" s="179">
        <v>38</v>
      </c>
      <c r="E473" s="183">
        <f t="shared" si="15"/>
        <v>0.8</v>
      </c>
      <c r="F473" s="179">
        <f t="shared" si="16"/>
        <v>30.400000000000002</v>
      </c>
    </row>
    <row r="474" spans="1:6">
      <c r="A474" s="177">
        <v>487160000</v>
      </c>
      <c r="B474" s="177">
        <v>3379039</v>
      </c>
      <c r="C474" s="177">
        <v>401</v>
      </c>
      <c r="D474" s="179">
        <v>28</v>
      </c>
      <c r="E474" s="183">
        <f t="shared" si="15"/>
        <v>0.8</v>
      </c>
      <c r="F474" s="179">
        <f t="shared" si="16"/>
        <v>22.400000000000002</v>
      </c>
    </row>
    <row r="475" spans="1:6">
      <c r="A475" s="177">
        <v>338490000</v>
      </c>
      <c r="B475" s="177">
        <v>3384900</v>
      </c>
      <c r="C475" s="177">
        <v>507</v>
      </c>
      <c r="D475" s="179">
        <v>340</v>
      </c>
      <c r="E475" s="183">
        <f t="shared" si="15"/>
        <v>1</v>
      </c>
      <c r="F475" s="179">
        <f t="shared" si="16"/>
        <v>340</v>
      </c>
    </row>
    <row r="476" spans="1:6">
      <c r="A476" s="177">
        <v>517530000</v>
      </c>
      <c r="B476" s="177">
        <v>3435187</v>
      </c>
      <c r="C476" s="177">
        <v>311</v>
      </c>
      <c r="D476" s="179">
        <v>81</v>
      </c>
      <c r="E476" s="183">
        <f t="shared" si="15"/>
        <v>0.8</v>
      </c>
      <c r="F476" s="179">
        <f t="shared" si="16"/>
        <v>64.8</v>
      </c>
    </row>
    <row r="477" spans="1:6">
      <c r="A477" s="177">
        <v>343620000</v>
      </c>
      <c r="B477" s="177">
        <v>3436200</v>
      </c>
      <c r="C477" s="177">
        <v>311</v>
      </c>
      <c r="D477" s="179">
        <v>46</v>
      </c>
      <c r="E477" s="183">
        <f t="shared" si="15"/>
        <v>0.8</v>
      </c>
      <c r="F477" s="179">
        <f t="shared" si="16"/>
        <v>36.800000000000004</v>
      </c>
    </row>
    <row r="478" spans="1:6">
      <c r="A478" s="177">
        <v>350060000</v>
      </c>
      <c r="B478" s="177">
        <v>3500600</v>
      </c>
      <c r="C478" s="177">
        <v>416</v>
      </c>
      <c r="D478" s="179">
        <v>22</v>
      </c>
      <c r="E478" s="183">
        <f t="shared" si="15"/>
        <v>0.8</v>
      </c>
      <c r="F478" s="179">
        <f t="shared" si="16"/>
        <v>17.600000000000001</v>
      </c>
    </row>
    <row r="479" spans="1:6">
      <c r="A479" s="177">
        <v>358720000</v>
      </c>
      <c r="B479" s="177">
        <v>3587200</v>
      </c>
      <c r="C479" s="177">
        <v>311</v>
      </c>
      <c r="D479" s="179">
        <v>92</v>
      </c>
      <c r="E479" s="183">
        <f t="shared" si="15"/>
        <v>0.8</v>
      </c>
      <c r="F479" s="179">
        <f t="shared" si="16"/>
        <v>73.600000000000009</v>
      </c>
    </row>
    <row r="480" spans="1:6">
      <c r="A480" s="177">
        <v>115960200</v>
      </c>
      <c r="B480" s="177">
        <v>3615650</v>
      </c>
      <c r="C480" s="177">
        <v>311</v>
      </c>
      <c r="D480" s="179">
        <v>50</v>
      </c>
      <c r="E480" s="183">
        <f t="shared" si="15"/>
        <v>0.8</v>
      </c>
      <c r="F480" s="179">
        <f t="shared" si="16"/>
        <v>40</v>
      </c>
    </row>
    <row r="481" spans="1:6">
      <c r="A481" s="177">
        <v>363900000</v>
      </c>
      <c r="B481" s="177">
        <v>3639000</v>
      </c>
      <c r="C481" s="177">
        <v>321</v>
      </c>
      <c r="D481" s="179">
        <v>28</v>
      </c>
      <c r="E481" s="183">
        <f t="shared" si="15"/>
        <v>0.8</v>
      </c>
      <c r="F481" s="179">
        <f t="shared" si="16"/>
        <v>22.400000000000002</v>
      </c>
    </row>
    <row r="482" spans="1:6">
      <c r="A482" s="177">
        <v>365140000</v>
      </c>
      <c r="B482" s="177">
        <v>3651400</v>
      </c>
      <c r="C482" s="177">
        <v>507</v>
      </c>
      <c r="D482" s="179">
        <v>172</v>
      </c>
      <c r="E482" s="183">
        <f t="shared" si="15"/>
        <v>1</v>
      </c>
      <c r="F482" s="179">
        <f t="shared" si="16"/>
        <v>172</v>
      </c>
    </row>
    <row r="483" spans="1:6">
      <c r="A483" s="177">
        <v>365980000</v>
      </c>
      <c r="B483" s="177">
        <v>3659800</v>
      </c>
      <c r="C483" s="177">
        <v>311</v>
      </c>
      <c r="D483" s="179">
        <v>33</v>
      </c>
      <c r="E483" s="183">
        <f t="shared" si="15"/>
        <v>0.8</v>
      </c>
      <c r="F483" s="179">
        <f t="shared" si="16"/>
        <v>26.400000000000002</v>
      </c>
    </row>
    <row r="484" spans="1:6">
      <c r="A484" s="177">
        <v>369020000</v>
      </c>
      <c r="B484" s="177">
        <v>3690200</v>
      </c>
      <c r="C484" s="177">
        <v>507</v>
      </c>
      <c r="D484" s="179">
        <v>62</v>
      </c>
      <c r="E484" s="183">
        <f t="shared" si="15"/>
        <v>0.8</v>
      </c>
      <c r="F484" s="179">
        <f t="shared" si="16"/>
        <v>49.6</v>
      </c>
    </row>
    <row r="485" spans="1:6">
      <c r="A485" s="177">
        <v>137460600</v>
      </c>
      <c r="B485" s="177">
        <v>3709953</v>
      </c>
      <c r="C485" s="177">
        <v>311</v>
      </c>
      <c r="D485" s="179">
        <v>44</v>
      </c>
      <c r="E485" s="183">
        <f t="shared" si="15"/>
        <v>0.8</v>
      </c>
      <c r="F485" s="179">
        <f t="shared" si="16"/>
        <v>35.200000000000003</v>
      </c>
    </row>
    <row r="486" spans="1:6">
      <c r="A486" s="177">
        <v>3720000</v>
      </c>
      <c r="B486" s="177">
        <v>3720000</v>
      </c>
      <c r="C486" s="177">
        <v>507</v>
      </c>
      <c r="D486" s="179">
        <v>1000</v>
      </c>
      <c r="E486" s="183">
        <f t="shared" si="15"/>
        <v>0.8</v>
      </c>
      <c r="F486" s="179">
        <f t="shared" si="16"/>
        <v>800</v>
      </c>
    </row>
    <row r="487" spans="1:6">
      <c r="A487" s="177">
        <v>153120000</v>
      </c>
      <c r="B487" s="177">
        <v>3733466</v>
      </c>
      <c r="C487" s="177">
        <v>803</v>
      </c>
      <c r="D487" s="179">
        <v>46</v>
      </c>
      <c r="E487" s="183">
        <f t="shared" si="15"/>
        <v>0.8</v>
      </c>
      <c r="F487" s="179">
        <f t="shared" si="16"/>
        <v>36.800000000000004</v>
      </c>
    </row>
    <row r="488" spans="1:6">
      <c r="A488" s="177">
        <v>811750100</v>
      </c>
      <c r="B488" s="177">
        <v>3741337</v>
      </c>
      <c r="C488" s="177">
        <v>810</v>
      </c>
      <c r="D488" s="179">
        <v>75</v>
      </c>
      <c r="E488" s="183">
        <f t="shared" si="15"/>
        <v>0.8</v>
      </c>
      <c r="F488" s="179">
        <f t="shared" si="16"/>
        <v>60</v>
      </c>
    </row>
    <row r="489" spans="1:6">
      <c r="A489" s="177">
        <v>813530000</v>
      </c>
      <c r="B489" s="177">
        <v>3741337</v>
      </c>
      <c r="C489" s="177">
        <v>311</v>
      </c>
      <c r="D489" s="179">
        <v>65</v>
      </c>
      <c r="E489" s="183">
        <f t="shared" si="15"/>
        <v>0.8</v>
      </c>
      <c r="F489" s="179">
        <f t="shared" si="16"/>
        <v>52</v>
      </c>
    </row>
    <row r="490" spans="1:6">
      <c r="A490" s="177">
        <v>378060000</v>
      </c>
      <c r="B490" s="177">
        <v>3780600</v>
      </c>
      <c r="C490" s="177">
        <v>311</v>
      </c>
      <c r="D490" s="179">
        <v>29</v>
      </c>
      <c r="E490" s="183">
        <f t="shared" si="15"/>
        <v>0.8</v>
      </c>
      <c r="F490" s="179">
        <f t="shared" si="16"/>
        <v>23.200000000000003</v>
      </c>
    </row>
    <row r="491" spans="1:6">
      <c r="A491" s="177">
        <v>384830000</v>
      </c>
      <c r="B491" s="177">
        <v>3848300</v>
      </c>
      <c r="C491" s="177">
        <v>522</v>
      </c>
      <c r="D491" s="179">
        <v>584</v>
      </c>
      <c r="E491" s="183">
        <f t="shared" si="15"/>
        <v>1.2</v>
      </c>
      <c r="F491" s="179">
        <f t="shared" si="16"/>
        <v>700.8</v>
      </c>
    </row>
    <row r="492" spans="1:6">
      <c r="A492" s="177">
        <v>701650000</v>
      </c>
      <c r="B492" s="177">
        <v>3861200</v>
      </c>
      <c r="C492" s="177">
        <v>313</v>
      </c>
      <c r="D492" s="179">
        <v>255</v>
      </c>
      <c r="E492" s="183">
        <f t="shared" si="15"/>
        <v>1</v>
      </c>
      <c r="F492" s="179">
        <f t="shared" si="16"/>
        <v>255</v>
      </c>
    </row>
    <row r="493" spans="1:6">
      <c r="A493" s="177">
        <v>386800000</v>
      </c>
      <c r="B493" s="177">
        <v>3868000</v>
      </c>
      <c r="C493" s="177">
        <v>321</v>
      </c>
      <c r="D493" s="179">
        <v>50</v>
      </c>
      <c r="E493" s="183">
        <f t="shared" si="15"/>
        <v>0.8</v>
      </c>
      <c r="F493" s="179">
        <f t="shared" si="16"/>
        <v>40</v>
      </c>
    </row>
    <row r="494" spans="1:6">
      <c r="A494" s="177">
        <v>392070000</v>
      </c>
      <c r="B494" s="177">
        <v>3920700</v>
      </c>
      <c r="C494" s="177">
        <v>882</v>
      </c>
      <c r="D494" s="179">
        <v>3914</v>
      </c>
      <c r="E494" s="183">
        <f t="shared" si="15"/>
        <v>0.8</v>
      </c>
      <c r="F494" s="179">
        <f t="shared" si="16"/>
        <v>3131.2000000000003</v>
      </c>
    </row>
    <row r="495" spans="1:6">
      <c r="A495" s="177">
        <v>392310000</v>
      </c>
      <c r="B495" s="177">
        <v>3923100</v>
      </c>
      <c r="C495" s="177">
        <v>311</v>
      </c>
      <c r="D495" s="179">
        <v>49</v>
      </c>
      <c r="E495" s="183">
        <f t="shared" si="15"/>
        <v>0.8</v>
      </c>
      <c r="F495" s="179">
        <f t="shared" si="16"/>
        <v>39.200000000000003</v>
      </c>
    </row>
    <row r="496" spans="1:6">
      <c r="A496" s="177">
        <v>62820100</v>
      </c>
      <c r="B496" s="177">
        <v>3928751</v>
      </c>
      <c r="C496" s="177">
        <v>507</v>
      </c>
      <c r="D496" s="179">
        <v>200</v>
      </c>
      <c r="E496" s="183">
        <f t="shared" si="15"/>
        <v>1</v>
      </c>
      <c r="F496" s="179">
        <f t="shared" si="16"/>
        <v>200</v>
      </c>
    </row>
    <row r="497" spans="1:6">
      <c r="A497" s="177">
        <v>394070000</v>
      </c>
      <c r="B497" s="177">
        <v>3940700</v>
      </c>
      <c r="C497" s="177">
        <v>401</v>
      </c>
      <c r="D497" s="179">
        <v>11</v>
      </c>
      <c r="E497" s="183">
        <f t="shared" si="15"/>
        <v>0.8</v>
      </c>
      <c r="F497" s="179">
        <f t="shared" si="16"/>
        <v>8.8000000000000007</v>
      </c>
    </row>
    <row r="498" spans="1:6">
      <c r="A498" s="177">
        <v>394160000</v>
      </c>
      <c r="B498" s="177">
        <v>3941600</v>
      </c>
      <c r="C498" s="177">
        <v>401</v>
      </c>
      <c r="D498" s="179">
        <v>163</v>
      </c>
      <c r="E498" s="183">
        <f t="shared" si="15"/>
        <v>1</v>
      </c>
      <c r="F498" s="179">
        <f t="shared" si="16"/>
        <v>163</v>
      </c>
    </row>
    <row r="499" spans="1:6">
      <c r="A499" s="177">
        <v>398410000</v>
      </c>
      <c r="B499" s="177">
        <v>3984100</v>
      </c>
      <c r="C499" s="177">
        <v>311</v>
      </c>
      <c r="D499" s="179">
        <v>60</v>
      </c>
      <c r="E499" s="183">
        <f t="shared" si="15"/>
        <v>0.8</v>
      </c>
      <c r="F499" s="179">
        <f t="shared" si="16"/>
        <v>48</v>
      </c>
    </row>
    <row r="500" spans="1:6">
      <c r="A500" s="177">
        <v>398810000</v>
      </c>
      <c r="B500" s="177">
        <v>3988100</v>
      </c>
      <c r="C500" s="177">
        <v>401</v>
      </c>
      <c r="D500" s="179">
        <v>24</v>
      </c>
      <c r="E500" s="183">
        <f t="shared" si="15"/>
        <v>0.8</v>
      </c>
      <c r="F500" s="179">
        <f t="shared" si="16"/>
        <v>19.200000000000003</v>
      </c>
    </row>
    <row r="501" spans="1:6">
      <c r="A501" s="177">
        <v>400001000</v>
      </c>
      <c r="B501" s="177">
        <v>4000010</v>
      </c>
      <c r="C501" s="177">
        <v>662</v>
      </c>
      <c r="D501" s="179">
        <v>31</v>
      </c>
      <c r="E501" s="183">
        <f t="shared" si="15"/>
        <v>0.8</v>
      </c>
      <c r="F501" s="179">
        <f t="shared" si="16"/>
        <v>24.8</v>
      </c>
    </row>
    <row r="502" spans="1:6">
      <c r="A502" s="177">
        <v>400001400</v>
      </c>
      <c r="B502" s="177">
        <v>4000014</v>
      </c>
      <c r="C502" s="177">
        <v>662</v>
      </c>
      <c r="D502" s="179">
        <v>524</v>
      </c>
      <c r="E502" s="183">
        <f t="shared" si="15"/>
        <v>1.2</v>
      </c>
      <c r="F502" s="179">
        <f t="shared" si="16"/>
        <v>628.79999999999995</v>
      </c>
    </row>
    <row r="503" spans="1:6">
      <c r="A503" s="177">
        <v>400002000</v>
      </c>
      <c r="B503" s="177">
        <v>4000020</v>
      </c>
      <c r="C503" s="177">
        <v>662</v>
      </c>
      <c r="D503" s="179">
        <v>512</v>
      </c>
      <c r="E503" s="183">
        <f t="shared" si="15"/>
        <v>1.2</v>
      </c>
      <c r="F503" s="179">
        <f t="shared" si="16"/>
        <v>614.4</v>
      </c>
    </row>
    <row r="504" spans="1:6">
      <c r="A504" s="177">
        <v>400000910</v>
      </c>
      <c r="B504" s="177">
        <v>4000031</v>
      </c>
      <c r="C504" s="177">
        <v>602</v>
      </c>
      <c r="D504" s="179">
        <v>19000</v>
      </c>
      <c r="E504" s="183">
        <f t="shared" si="15"/>
        <v>0.6</v>
      </c>
      <c r="F504" s="179">
        <f t="shared" si="16"/>
        <v>11400</v>
      </c>
    </row>
    <row r="505" spans="1:6">
      <c r="A505" s="177">
        <v>400007600</v>
      </c>
      <c r="B505" s="177">
        <v>4000076</v>
      </c>
      <c r="C505" s="177">
        <v>315</v>
      </c>
      <c r="D505" s="179">
        <v>10141</v>
      </c>
      <c r="E505" s="183">
        <f t="shared" si="15"/>
        <v>0.6</v>
      </c>
      <c r="F505" s="179">
        <f t="shared" si="16"/>
        <v>6084.5999999999995</v>
      </c>
    </row>
    <row r="506" spans="1:6">
      <c r="A506" s="177">
        <v>400010700</v>
      </c>
      <c r="B506" s="177">
        <v>4000107</v>
      </c>
      <c r="C506" s="177">
        <v>661</v>
      </c>
      <c r="D506" s="179">
        <v>618</v>
      </c>
      <c r="E506" s="183">
        <f t="shared" si="15"/>
        <v>1.2</v>
      </c>
      <c r="F506" s="179">
        <f t="shared" si="16"/>
        <v>741.6</v>
      </c>
    </row>
    <row r="507" spans="1:6">
      <c r="A507" s="177">
        <v>400021300</v>
      </c>
      <c r="B507" s="177">
        <v>4000213</v>
      </c>
      <c r="C507" s="177">
        <v>661</v>
      </c>
      <c r="D507" s="179">
        <v>199</v>
      </c>
      <c r="E507" s="183">
        <f t="shared" si="15"/>
        <v>1</v>
      </c>
      <c r="F507" s="179">
        <f t="shared" si="16"/>
        <v>199</v>
      </c>
    </row>
    <row r="508" spans="1:6">
      <c r="A508" s="177">
        <v>400021400</v>
      </c>
      <c r="B508" s="177">
        <v>4000214</v>
      </c>
      <c r="C508" s="177">
        <v>661</v>
      </c>
      <c r="D508" s="179">
        <v>1000</v>
      </c>
      <c r="E508" s="183">
        <f t="shared" si="15"/>
        <v>0.8</v>
      </c>
      <c r="F508" s="179">
        <f t="shared" si="16"/>
        <v>800</v>
      </c>
    </row>
  </sheetData>
  <mergeCells count="2">
    <mergeCell ref="A1:B1"/>
    <mergeCell ref="C1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rightToLeft="1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0" bestFit="1" customWidth="1"/>
  </cols>
  <sheetData>
    <row r="1" spans="1:3">
      <c r="A1" s="273" t="s">
        <v>183</v>
      </c>
      <c r="B1" s="273"/>
      <c r="C1" s="273" t="s">
        <v>185</v>
      </c>
    </row>
    <row r="2" spans="1:3">
      <c r="A2" s="186" t="s">
        <v>184</v>
      </c>
      <c r="B2" s="186" t="s">
        <v>160</v>
      </c>
      <c r="C2" s="273"/>
    </row>
    <row r="3" spans="1:3">
      <c r="A3" s="187">
        <v>0</v>
      </c>
      <c r="B3" s="187">
        <v>2</v>
      </c>
      <c r="C3" s="188">
        <v>0</v>
      </c>
    </row>
    <row r="4" spans="1:3">
      <c r="A4" s="187">
        <v>2.5</v>
      </c>
      <c r="B4" s="187">
        <v>5.5</v>
      </c>
      <c r="C4" s="188">
        <v>0.91</v>
      </c>
    </row>
    <row r="5" spans="1:3">
      <c r="A5" s="187">
        <v>6</v>
      </c>
      <c r="B5" s="187">
        <v>8.5</v>
      </c>
      <c r="C5" s="188">
        <v>1.5</v>
      </c>
    </row>
    <row r="6" spans="1:3">
      <c r="A6" s="187">
        <v>9</v>
      </c>
      <c r="B6" s="187"/>
      <c r="C6" s="188">
        <v>1.68</v>
      </c>
    </row>
    <row r="9" spans="1:3" s="185" customFormat="1" ht="35.25" customHeight="1">
      <c r="A9" s="185" t="s">
        <v>41</v>
      </c>
      <c r="B9" s="185" t="s">
        <v>183</v>
      </c>
      <c r="C9" s="185" t="s">
        <v>185</v>
      </c>
    </row>
    <row r="10" spans="1:3">
      <c r="A10">
        <v>504817432</v>
      </c>
      <c r="B10">
        <v>4</v>
      </c>
      <c r="C10" s="184"/>
    </row>
    <row r="11" spans="1:3">
      <c r="A11">
        <v>610546829</v>
      </c>
      <c r="B11">
        <v>10</v>
      </c>
      <c r="C11" s="184"/>
    </row>
    <row r="12" spans="1:3">
      <c r="A12">
        <v>157545730</v>
      </c>
      <c r="B12">
        <v>14</v>
      </c>
      <c r="C12" s="184"/>
    </row>
    <row r="13" spans="1:3">
      <c r="A13">
        <v>973847555</v>
      </c>
      <c r="B13">
        <v>0</v>
      </c>
      <c r="C13" s="184"/>
    </row>
    <row r="14" spans="1:3">
      <c r="A14">
        <v>132826317</v>
      </c>
      <c r="B14">
        <v>13</v>
      </c>
      <c r="C14" s="184"/>
    </row>
    <row r="15" spans="1:3">
      <c r="A15">
        <v>566812351</v>
      </c>
      <c r="B15">
        <v>14</v>
      </c>
      <c r="C15" s="184"/>
    </row>
    <row r="16" spans="1:3">
      <c r="A16">
        <v>527832148</v>
      </c>
      <c r="B16">
        <v>11</v>
      </c>
      <c r="C16" s="184"/>
    </row>
    <row r="17" spans="1:3">
      <c r="A17">
        <v>903514138</v>
      </c>
      <c r="B17">
        <v>11</v>
      </c>
      <c r="C17" s="184"/>
    </row>
    <row r="18" spans="1:3">
      <c r="A18">
        <v>225919959</v>
      </c>
      <c r="B18">
        <v>4</v>
      </c>
      <c r="C18" s="184"/>
    </row>
    <row r="19" spans="1:3">
      <c r="A19">
        <v>227167129</v>
      </c>
      <c r="B19">
        <v>7</v>
      </c>
      <c r="C19" s="184"/>
    </row>
    <row r="20" spans="1:3">
      <c r="A20">
        <v>246956833</v>
      </c>
      <c r="B20">
        <v>8</v>
      </c>
      <c r="C20" s="184"/>
    </row>
    <row r="21" spans="1:3">
      <c r="A21">
        <v>196354862</v>
      </c>
      <c r="B21">
        <v>2</v>
      </c>
      <c r="C21" s="184"/>
    </row>
    <row r="22" spans="1:3">
      <c r="A22">
        <v>503328211</v>
      </c>
      <c r="B22">
        <v>12</v>
      </c>
      <c r="C22" s="184"/>
    </row>
    <row r="23" spans="1:3">
      <c r="A23">
        <v>838758350</v>
      </c>
      <c r="B23">
        <v>10</v>
      </c>
      <c r="C23" s="184"/>
    </row>
    <row r="24" spans="1:3">
      <c r="A24">
        <v>391039806</v>
      </c>
      <c r="B24">
        <v>14</v>
      </c>
      <c r="C24" s="184"/>
    </row>
    <row r="25" spans="1:3">
      <c r="A25">
        <v>658044932</v>
      </c>
      <c r="B25">
        <v>6</v>
      </c>
      <c r="C25" s="184"/>
    </row>
    <row r="26" spans="1:3">
      <c r="A26">
        <v>608576892</v>
      </c>
      <c r="B26">
        <v>8</v>
      </c>
      <c r="C26" s="184"/>
    </row>
    <row r="27" spans="1:3">
      <c r="A27">
        <v>782970976</v>
      </c>
      <c r="B27">
        <v>0</v>
      </c>
      <c r="C27" s="184"/>
    </row>
    <row r="28" spans="1:3">
      <c r="A28">
        <v>706669643</v>
      </c>
      <c r="B28">
        <v>12</v>
      </c>
      <c r="C28" s="184"/>
    </row>
    <row r="29" spans="1:3">
      <c r="A29">
        <v>709214814</v>
      </c>
      <c r="B29">
        <v>9</v>
      </c>
      <c r="C29" s="184"/>
    </row>
    <row r="30" spans="1:3">
      <c r="A30">
        <v>491851648</v>
      </c>
      <c r="B30">
        <v>0</v>
      </c>
      <c r="C30" s="184"/>
    </row>
    <row r="31" spans="1:3">
      <c r="A31">
        <v>309346422</v>
      </c>
      <c r="B31">
        <v>12</v>
      </c>
      <c r="C31" s="184"/>
    </row>
    <row r="32" spans="1:3">
      <c r="A32">
        <v>868804735</v>
      </c>
      <c r="B32">
        <v>8</v>
      </c>
      <c r="C32" s="184"/>
    </row>
    <row r="33" spans="1:3">
      <c r="A33">
        <v>748564227</v>
      </c>
      <c r="B33">
        <v>0</v>
      </c>
      <c r="C33" s="184"/>
    </row>
    <row r="34" spans="1:3">
      <c r="A34">
        <v>491678176</v>
      </c>
      <c r="B34">
        <v>4</v>
      </c>
      <c r="C34" s="184"/>
    </row>
    <row r="35" spans="1:3">
      <c r="A35">
        <v>293025140</v>
      </c>
      <c r="B35">
        <v>10</v>
      </c>
      <c r="C35" s="184"/>
    </row>
    <row r="36" spans="1:3">
      <c r="A36">
        <v>248928629</v>
      </c>
      <c r="B36">
        <v>1</v>
      </c>
      <c r="C36" s="184"/>
    </row>
    <row r="37" spans="1:3">
      <c r="A37">
        <v>977289869</v>
      </c>
      <c r="B37">
        <v>5</v>
      </c>
      <c r="C37" s="184"/>
    </row>
    <row r="38" spans="1:3">
      <c r="A38">
        <v>207693557</v>
      </c>
      <c r="B38">
        <v>12</v>
      </c>
      <c r="C38" s="184"/>
    </row>
    <row r="39" spans="1:3">
      <c r="A39">
        <v>850343642</v>
      </c>
      <c r="B39">
        <v>1</v>
      </c>
      <c r="C39" s="184"/>
    </row>
    <row r="40" spans="1:3">
      <c r="A40">
        <v>501637622</v>
      </c>
      <c r="B40">
        <v>13</v>
      </c>
      <c r="C40" s="184"/>
    </row>
    <row r="41" spans="1:3">
      <c r="A41">
        <v>964771794</v>
      </c>
      <c r="B41">
        <v>3</v>
      </c>
      <c r="C41" s="184"/>
    </row>
    <row r="42" spans="1:3">
      <c r="A42">
        <v>324180765</v>
      </c>
      <c r="B42">
        <v>10</v>
      </c>
      <c r="C42" s="184"/>
    </row>
    <row r="43" spans="1:3">
      <c r="A43">
        <v>898258270</v>
      </c>
      <c r="B43">
        <v>2</v>
      </c>
      <c r="C43" s="184"/>
    </row>
    <row r="44" spans="1:3">
      <c r="A44">
        <v>701974638</v>
      </c>
      <c r="B44">
        <v>9</v>
      </c>
      <c r="C44" s="184"/>
    </row>
    <row r="45" spans="1:3">
      <c r="A45">
        <v>887079163</v>
      </c>
      <c r="B45">
        <v>11</v>
      </c>
      <c r="C45" s="184"/>
    </row>
    <row r="46" spans="1:3">
      <c r="A46">
        <v>852820102</v>
      </c>
      <c r="B46">
        <v>4</v>
      </c>
      <c r="C46" s="184"/>
    </row>
    <row r="47" spans="1:3">
      <c r="A47">
        <v>401713167</v>
      </c>
      <c r="B47">
        <v>4</v>
      </c>
      <c r="C47" s="184"/>
    </row>
    <row r="48" spans="1:3">
      <c r="A48">
        <v>352573318</v>
      </c>
      <c r="B48">
        <v>10</v>
      </c>
      <c r="C48" s="184"/>
    </row>
    <row r="49" spans="1:3">
      <c r="A49">
        <v>374598448</v>
      </c>
      <c r="B49">
        <v>2</v>
      </c>
      <c r="C49" s="184"/>
    </row>
    <row r="50" spans="1:3">
      <c r="A50">
        <v>330590434</v>
      </c>
      <c r="B50">
        <v>7</v>
      </c>
      <c r="C50" s="184"/>
    </row>
  </sheetData>
  <autoFilter ref="A9:C9"/>
  <mergeCells count="2">
    <mergeCell ref="A1:B1"/>
    <mergeCell ref="C1:C2"/>
  </mergeCells>
  <conditionalFormatting sqref="A10:A50">
    <cfRule type="duplicateValues" dxfId="28" priority="1"/>
    <cfRule type="duplicateValues" dxfId="27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rightToLeft="1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0" bestFit="1" customWidth="1"/>
  </cols>
  <sheetData>
    <row r="1" spans="1:3">
      <c r="A1" s="273" t="s">
        <v>183</v>
      </c>
      <c r="B1" s="273"/>
      <c r="C1" s="273" t="s">
        <v>185</v>
      </c>
    </row>
    <row r="2" spans="1:3">
      <c r="A2" s="186" t="s">
        <v>184</v>
      </c>
      <c r="B2" s="186" t="s">
        <v>160</v>
      </c>
      <c r="C2" s="273"/>
    </row>
    <row r="3" spans="1:3">
      <c r="A3" s="187">
        <v>0</v>
      </c>
      <c r="B3" s="187">
        <v>2</v>
      </c>
      <c r="C3" s="188">
        <v>0</v>
      </c>
    </row>
    <row r="4" spans="1:3">
      <c r="A4" s="187">
        <v>2.5</v>
      </c>
      <c r="B4" s="187">
        <v>5.5</v>
      </c>
      <c r="C4" s="188">
        <v>0.91</v>
      </c>
    </row>
    <row r="5" spans="1:3">
      <c r="A5" s="187">
        <v>6</v>
      </c>
      <c r="B5" s="187">
        <v>8.5</v>
      </c>
      <c r="C5" s="188">
        <v>1.5</v>
      </c>
    </row>
    <row r="6" spans="1:3">
      <c r="A6" s="187">
        <v>9</v>
      </c>
      <c r="B6" s="187"/>
      <c r="C6" s="188">
        <v>1.68</v>
      </c>
    </row>
    <row r="9" spans="1:3" s="185" customFormat="1" ht="35.25" customHeight="1">
      <c r="A9" s="185" t="s">
        <v>41</v>
      </c>
      <c r="B9" s="185" t="s">
        <v>183</v>
      </c>
      <c r="C9" s="185" t="s">
        <v>185</v>
      </c>
    </row>
    <row r="10" spans="1:3">
      <c r="A10">
        <v>504817432</v>
      </c>
      <c r="B10">
        <v>4</v>
      </c>
      <c r="C10" s="184">
        <f>VLOOKUP(B10,$A$3:$C$6,3,1)</f>
        <v>0.91</v>
      </c>
    </row>
    <row r="11" spans="1:3">
      <c r="A11">
        <v>610546829</v>
      </c>
      <c r="B11">
        <v>10</v>
      </c>
      <c r="C11" s="184">
        <f t="shared" ref="C11:C50" si="0">VLOOKUP(B11,$A$3:$C$6,3,1)</f>
        <v>1.68</v>
      </c>
    </row>
    <row r="12" spans="1:3">
      <c r="A12">
        <v>157545730</v>
      </c>
      <c r="B12">
        <v>14</v>
      </c>
      <c r="C12" s="184">
        <f t="shared" si="0"/>
        <v>1.68</v>
      </c>
    </row>
    <row r="13" spans="1:3">
      <c r="A13">
        <v>973847555</v>
      </c>
      <c r="B13">
        <v>0</v>
      </c>
      <c r="C13" s="184">
        <f t="shared" si="0"/>
        <v>0</v>
      </c>
    </row>
    <row r="14" spans="1:3">
      <c r="A14">
        <v>132826317</v>
      </c>
      <c r="B14">
        <v>13</v>
      </c>
      <c r="C14" s="184">
        <f t="shared" si="0"/>
        <v>1.68</v>
      </c>
    </row>
    <row r="15" spans="1:3">
      <c r="A15">
        <v>566812351</v>
      </c>
      <c r="B15">
        <v>14</v>
      </c>
      <c r="C15" s="184">
        <f t="shared" si="0"/>
        <v>1.68</v>
      </c>
    </row>
    <row r="16" spans="1:3">
      <c r="A16">
        <v>527832148</v>
      </c>
      <c r="B16">
        <v>11</v>
      </c>
      <c r="C16" s="184">
        <f t="shared" si="0"/>
        <v>1.68</v>
      </c>
    </row>
    <row r="17" spans="1:3">
      <c r="A17">
        <v>903514138</v>
      </c>
      <c r="B17">
        <v>11</v>
      </c>
      <c r="C17" s="184">
        <f t="shared" si="0"/>
        <v>1.68</v>
      </c>
    </row>
    <row r="18" spans="1:3">
      <c r="A18">
        <v>225919959</v>
      </c>
      <c r="B18">
        <v>4</v>
      </c>
      <c r="C18" s="184">
        <f t="shared" si="0"/>
        <v>0.91</v>
      </c>
    </row>
    <row r="19" spans="1:3">
      <c r="A19">
        <v>227167129</v>
      </c>
      <c r="B19">
        <v>7</v>
      </c>
      <c r="C19" s="184">
        <f t="shared" si="0"/>
        <v>1.5</v>
      </c>
    </row>
    <row r="20" spans="1:3">
      <c r="A20">
        <v>246956833</v>
      </c>
      <c r="B20">
        <v>8</v>
      </c>
      <c r="C20" s="184">
        <f t="shared" si="0"/>
        <v>1.5</v>
      </c>
    </row>
    <row r="21" spans="1:3">
      <c r="A21">
        <v>196354862</v>
      </c>
      <c r="B21">
        <v>2</v>
      </c>
      <c r="C21" s="184">
        <f t="shared" si="0"/>
        <v>0</v>
      </c>
    </row>
    <row r="22" spans="1:3">
      <c r="A22">
        <v>503328211</v>
      </c>
      <c r="B22">
        <v>12</v>
      </c>
      <c r="C22" s="184">
        <f t="shared" si="0"/>
        <v>1.68</v>
      </c>
    </row>
    <row r="23" spans="1:3">
      <c r="A23">
        <v>838758350</v>
      </c>
      <c r="B23">
        <v>10</v>
      </c>
      <c r="C23" s="184">
        <f t="shared" si="0"/>
        <v>1.68</v>
      </c>
    </row>
    <row r="24" spans="1:3">
      <c r="A24">
        <v>391039806</v>
      </c>
      <c r="B24">
        <v>14</v>
      </c>
      <c r="C24" s="184">
        <f t="shared" si="0"/>
        <v>1.68</v>
      </c>
    </row>
    <row r="25" spans="1:3">
      <c r="A25">
        <v>658044932</v>
      </c>
      <c r="B25">
        <v>6</v>
      </c>
      <c r="C25" s="184">
        <f t="shared" si="0"/>
        <v>1.5</v>
      </c>
    </row>
    <row r="26" spans="1:3">
      <c r="A26">
        <v>608576892</v>
      </c>
      <c r="B26">
        <v>8</v>
      </c>
      <c r="C26" s="184">
        <f t="shared" si="0"/>
        <v>1.5</v>
      </c>
    </row>
    <row r="27" spans="1:3">
      <c r="A27">
        <v>782970976</v>
      </c>
      <c r="B27">
        <v>0</v>
      </c>
      <c r="C27" s="184">
        <f t="shared" si="0"/>
        <v>0</v>
      </c>
    </row>
    <row r="28" spans="1:3">
      <c r="A28">
        <v>706669643</v>
      </c>
      <c r="B28">
        <v>12</v>
      </c>
      <c r="C28" s="184">
        <f t="shared" si="0"/>
        <v>1.68</v>
      </c>
    </row>
    <row r="29" spans="1:3">
      <c r="A29">
        <v>709214814</v>
      </c>
      <c r="B29">
        <v>9</v>
      </c>
      <c r="C29" s="184">
        <f t="shared" si="0"/>
        <v>1.68</v>
      </c>
    </row>
    <row r="30" spans="1:3">
      <c r="A30">
        <v>491851648</v>
      </c>
      <c r="B30">
        <v>0</v>
      </c>
      <c r="C30" s="184">
        <f t="shared" si="0"/>
        <v>0</v>
      </c>
    </row>
    <row r="31" spans="1:3">
      <c r="A31">
        <v>309346422</v>
      </c>
      <c r="B31">
        <v>12</v>
      </c>
      <c r="C31" s="184">
        <f t="shared" si="0"/>
        <v>1.68</v>
      </c>
    </row>
    <row r="32" spans="1:3">
      <c r="A32">
        <v>868804735</v>
      </c>
      <c r="B32">
        <v>8</v>
      </c>
      <c r="C32" s="184">
        <f t="shared" si="0"/>
        <v>1.5</v>
      </c>
    </row>
    <row r="33" spans="1:3">
      <c r="A33">
        <v>748564227</v>
      </c>
      <c r="B33">
        <v>0</v>
      </c>
      <c r="C33" s="184">
        <f t="shared" si="0"/>
        <v>0</v>
      </c>
    </row>
    <row r="34" spans="1:3">
      <c r="A34">
        <v>491678176</v>
      </c>
      <c r="B34">
        <v>4</v>
      </c>
      <c r="C34" s="184">
        <f t="shared" si="0"/>
        <v>0.91</v>
      </c>
    </row>
    <row r="35" spans="1:3">
      <c r="A35">
        <v>293025140</v>
      </c>
      <c r="B35">
        <v>10</v>
      </c>
      <c r="C35" s="184">
        <f t="shared" si="0"/>
        <v>1.68</v>
      </c>
    </row>
    <row r="36" spans="1:3">
      <c r="A36">
        <v>248928629</v>
      </c>
      <c r="B36">
        <v>1</v>
      </c>
      <c r="C36" s="184">
        <f t="shared" si="0"/>
        <v>0</v>
      </c>
    </row>
    <row r="37" spans="1:3">
      <c r="A37">
        <v>977289869</v>
      </c>
      <c r="B37">
        <v>5</v>
      </c>
      <c r="C37" s="184">
        <f t="shared" si="0"/>
        <v>0.91</v>
      </c>
    </row>
    <row r="38" spans="1:3">
      <c r="A38">
        <v>207693557</v>
      </c>
      <c r="B38">
        <v>12</v>
      </c>
      <c r="C38" s="184">
        <f t="shared" si="0"/>
        <v>1.68</v>
      </c>
    </row>
    <row r="39" spans="1:3">
      <c r="A39">
        <v>850343642</v>
      </c>
      <c r="B39">
        <v>1</v>
      </c>
      <c r="C39" s="184">
        <f t="shared" si="0"/>
        <v>0</v>
      </c>
    </row>
    <row r="40" spans="1:3">
      <c r="A40">
        <v>501637622</v>
      </c>
      <c r="B40">
        <v>13</v>
      </c>
      <c r="C40" s="184">
        <f t="shared" si="0"/>
        <v>1.68</v>
      </c>
    </row>
    <row r="41" spans="1:3">
      <c r="A41">
        <v>964771794</v>
      </c>
      <c r="B41">
        <v>3</v>
      </c>
      <c r="C41" s="184">
        <f t="shared" si="0"/>
        <v>0.91</v>
      </c>
    </row>
    <row r="42" spans="1:3">
      <c r="A42">
        <v>324180765</v>
      </c>
      <c r="B42">
        <v>10</v>
      </c>
      <c r="C42" s="184">
        <f t="shared" si="0"/>
        <v>1.68</v>
      </c>
    </row>
    <row r="43" spans="1:3">
      <c r="A43">
        <v>898258270</v>
      </c>
      <c r="B43">
        <v>2</v>
      </c>
      <c r="C43" s="184">
        <f t="shared" si="0"/>
        <v>0</v>
      </c>
    </row>
    <row r="44" spans="1:3">
      <c r="A44">
        <v>701974638</v>
      </c>
      <c r="B44">
        <v>9</v>
      </c>
      <c r="C44" s="184">
        <f t="shared" si="0"/>
        <v>1.68</v>
      </c>
    </row>
    <row r="45" spans="1:3">
      <c r="A45">
        <v>887079163</v>
      </c>
      <c r="B45">
        <v>11</v>
      </c>
      <c r="C45" s="184">
        <f t="shared" si="0"/>
        <v>1.68</v>
      </c>
    </row>
    <row r="46" spans="1:3">
      <c r="A46">
        <v>852820102</v>
      </c>
      <c r="B46">
        <v>4</v>
      </c>
      <c r="C46" s="184">
        <f t="shared" si="0"/>
        <v>0.91</v>
      </c>
    </row>
    <row r="47" spans="1:3">
      <c r="A47">
        <v>401713167</v>
      </c>
      <c r="B47">
        <v>4</v>
      </c>
      <c r="C47" s="184">
        <f t="shared" si="0"/>
        <v>0.91</v>
      </c>
    </row>
    <row r="48" spans="1:3">
      <c r="A48">
        <v>352573318</v>
      </c>
      <c r="B48">
        <v>10</v>
      </c>
      <c r="C48" s="184">
        <f t="shared" si="0"/>
        <v>1.68</v>
      </c>
    </row>
    <row r="49" spans="1:3">
      <c r="A49">
        <v>374598448</v>
      </c>
      <c r="B49">
        <v>2</v>
      </c>
      <c r="C49" s="184">
        <f t="shared" si="0"/>
        <v>0</v>
      </c>
    </row>
    <row r="50" spans="1:3">
      <c r="A50">
        <v>330590434</v>
      </c>
      <c r="B50">
        <v>7</v>
      </c>
      <c r="C50" s="184">
        <f t="shared" si="0"/>
        <v>1.5</v>
      </c>
    </row>
  </sheetData>
  <autoFilter ref="A9:C9"/>
  <mergeCells count="2">
    <mergeCell ref="C1:C2"/>
    <mergeCell ref="A1:B1"/>
  </mergeCells>
  <conditionalFormatting sqref="A10:A50">
    <cfRule type="duplicateValues" dxfId="26" priority="1"/>
    <cfRule type="duplicateValues" dxfId="25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18</vt:i4>
      </vt:variant>
    </vt:vector>
  </HeadingPairs>
  <TitlesOfParts>
    <vt:vector size="18" baseType="lpstr">
      <vt:lpstr>1</vt:lpstr>
      <vt:lpstr>פתרון 1</vt:lpstr>
      <vt:lpstr>2-3</vt:lpstr>
      <vt:lpstr>פתרון 2-3</vt:lpstr>
      <vt:lpstr>Madad</vt:lpstr>
      <vt:lpstr>4-5</vt:lpstr>
      <vt:lpstr>פתרון 4-5</vt:lpstr>
      <vt:lpstr>6</vt:lpstr>
      <vt:lpstr>פתרון 6</vt:lpstr>
      <vt:lpstr>7-9</vt:lpstr>
      <vt:lpstr>פתרון 7-9</vt:lpstr>
      <vt:lpstr>10-15</vt:lpstr>
      <vt:lpstr>פתרון 10-15</vt:lpstr>
      <vt:lpstr>16</vt:lpstr>
      <vt:lpstr>פתרון 16</vt:lpstr>
      <vt:lpstr>17-38</vt:lpstr>
      <vt:lpstr>פתרון 17-37</vt:lpstr>
      <vt:lpstr>פתרון 38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שי שקרוב</cp:lastModifiedBy>
  <dcterms:created xsi:type="dcterms:W3CDTF">2001-05-22T06:09:44Z</dcterms:created>
  <dcterms:modified xsi:type="dcterms:W3CDTF">2018-12-02T11:21:51Z</dcterms:modified>
</cp:coreProperties>
</file>