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MTA\מבוא לטכנולוגיות מידע\הרצאות\05-Excel\"/>
    </mc:Choice>
  </mc:AlternateContent>
  <bookViews>
    <workbookView xWindow="-450" yWindow="-15" windowWidth="9690" windowHeight="6285" tabRatio="804"/>
  </bookViews>
  <sheets>
    <sheet name="1-15" sheetId="103" r:id="rId1"/>
    <sheet name="16-27" sheetId="83" r:id="rId2"/>
    <sheet name="פתרון 16-27" sheetId="102" r:id="rId3"/>
    <sheet name="פוליסות פיננסיות" sheetId="105" r:id="rId4"/>
    <sheet name="28-35" sheetId="108" r:id="rId5"/>
    <sheet name="פתרון 28-35" sheetId="107" r:id="rId6"/>
  </sheets>
  <externalReferences>
    <externalReference r:id="rId7"/>
  </externalReferences>
  <definedNames>
    <definedName name="_xlnm._FilterDatabase" localSheetId="0" hidden="1">'1-15'!$B$3:$R$13</definedName>
    <definedName name="_xlnm._FilterDatabase" localSheetId="1" hidden="1">'16-27'!$B$3:$R$13</definedName>
    <definedName name="_xlnm._FilterDatabase" localSheetId="3" hidden="1">'פוליסות פיננסיות'!$A$2:$S$50</definedName>
    <definedName name="_xlnm._FilterDatabase" localSheetId="2" hidden="1">'פתרון 16-27'!$G$3:$G$13</definedName>
    <definedName name="_xlnm.Extract" localSheetId="0">'1-15'!#REF!</definedName>
    <definedName name="_xlnm.Extract" localSheetId="1">'16-27'!#REF!</definedName>
    <definedName name="_xlnm.Extract" localSheetId="2">'פתרון 16-27'!$B$109</definedName>
    <definedName name="HTML_CodePage" hidden="1">1255</definedName>
    <definedName name="HTML_Control" localSheetId="0" hidden="1">{"'כל המועדים'!$G$6:$I$12"}</definedName>
    <definedName name="HTML_Control" localSheetId="1" hidden="1">{"'כל המועדים'!$G$6:$I$12"}</definedName>
    <definedName name="HTML_Control" localSheetId="2" hidden="1">{"'כל המועדים'!$G$6:$I$12"}</definedName>
    <definedName name="HTML_Control" hidden="1">{"'כל המועדים'!$G$6:$I$12"}</definedName>
    <definedName name="HTML_Description" hidden="1">""</definedName>
    <definedName name="HTML_Email" hidden="1">""</definedName>
    <definedName name="HTML_Header" hidden="1">"כל המועדים"</definedName>
    <definedName name="HTML_LastUpdate" hidden="1">"20/09/2000"</definedName>
    <definedName name="HTML_LineAfter" hidden="1">FALSE</definedName>
    <definedName name="HTML_LineBefore" hidden="1">FALSE</definedName>
    <definedName name="HTML_Name" hidden="1">"האוניברסיטה הפתוחה"</definedName>
    <definedName name="HTML_OBDlg2" hidden="1">TRUE</definedName>
    <definedName name="HTML_OBDlg4" hidden="1">TRUE</definedName>
    <definedName name="HTML_OS" hidden="1">0</definedName>
    <definedName name="HTML_PathFile" hidden="1">"H:\word-doc\סמסטר ב2000\MyHTML.htm"</definedName>
    <definedName name="HTML_Title" hidden="1">"סטטיסטיקות לציוני בחינות ב2000"</definedName>
    <definedName name="Min_Rent">'[1]נתוני עזר'!$B$2</definedName>
  </definedNames>
  <calcPr calcId="152511"/>
</workbook>
</file>

<file path=xl/calcChain.xml><?xml version="1.0" encoding="utf-8"?>
<calcChain xmlns="http://schemas.openxmlformats.org/spreadsheetml/2006/main">
  <c r="N21" i="102" l="1"/>
  <c r="M21" i="102"/>
  <c r="L21" i="102"/>
  <c r="K21" i="102"/>
  <c r="J21" i="102"/>
  <c r="I21" i="102"/>
  <c r="H21" i="102"/>
  <c r="N20" i="102"/>
  <c r="M20" i="102"/>
  <c r="L20" i="102"/>
  <c r="K20" i="102"/>
  <c r="J20" i="102"/>
  <c r="I20" i="102"/>
  <c r="H20" i="102"/>
  <c r="N21" i="83"/>
  <c r="M21" i="83"/>
  <c r="L21" i="83"/>
  <c r="K21" i="83"/>
  <c r="J21" i="83"/>
  <c r="I21" i="83"/>
  <c r="H21" i="83"/>
  <c r="N20" i="83"/>
  <c r="M20" i="83"/>
  <c r="L20" i="83"/>
  <c r="K20" i="83"/>
  <c r="J20" i="83"/>
  <c r="I20" i="83"/>
  <c r="H20" i="83"/>
  <c r="N21" i="103"/>
  <c r="M21" i="103"/>
  <c r="L21" i="103"/>
  <c r="K21" i="103"/>
  <c r="J21" i="103"/>
  <c r="I21" i="103"/>
  <c r="N20" i="103"/>
  <c r="M20" i="103"/>
  <c r="L20" i="103"/>
  <c r="K20" i="103"/>
  <c r="J20" i="103"/>
  <c r="I20" i="103"/>
  <c r="H21" i="103"/>
  <c r="H20" i="103"/>
  <c r="D26" i="107" l="1"/>
  <c r="B25" i="107"/>
  <c r="B22" i="107"/>
  <c r="B19" i="107"/>
  <c r="B16" i="107"/>
  <c r="B2" i="107"/>
  <c r="B5" i="107"/>
  <c r="B8" i="107"/>
  <c r="B12" i="107"/>
  <c r="C42" i="103"/>
  <c r="M28" i="103" s="1"/>
  <c r="C37" i="103"/>
  <c r="M30" i="103"/>
  <c r="L30" i="103"/>
  <c r="J30" i="103"/>
  <c r="I30" i="103"/>
  <c r="H30" i="103"/>
  <c r="D30" i="103"/>
  <c r="C30" i="103"/>
  <c r="M29" i="103"/>
  <c r="L29" i="103"/>
  <c r="J29" i="103"/>
  <c r="I29" i="103"/>
  <c r="H29" i="103"/>
  <c r="D29" i="103"/>
  <c r="C29" i="103"/>
  <c r="J28" i="103"/>
  <c r="D28" i="103"/>
  <c r="M27" i="103"/>
  <c r="L27" i="103"/>
  <c r="J27" i="103"/>
  <c r="I27" i="103"/>
  <c r="H27" i="103"/>
  <c r="C27" i="103"/>
  <c r="J26" i="103"/>
  <c r="C26" i="103"/>
  <c r="J25" i="103"/>
  <c r="H25" i="103"/>
  <c r="M24" i="103"/>
  <c r="I24" i="103"/>
  <c r="M23" i="103"/>
  <c r="L23" i="103"/>
  <c r="J23" i="103"/>
  <c r="I23" i="103"/>
  <c r="H23" i="103"/>
  <c r="M22" i="103"/>
  <c r="L22" i="103"/>
  <c r="K22" i="103"/>
  <c r="J22" i="103"/>
  <c r="I22" i="103"/>
  <c r="H22" i="103"/>
  <c r="M19" i="103"/>
  <c r="L19" i="103"/>
  <c r="J19" i="103"/>
  <c r="I19" i="103"/>
  <c r="H19" i="103"/>
  <c r="M18" i="103"/>
  <c r="L18" i="103"/>
  <c r="K18" i="103"/>
  <c r="J18" i="103"/>
  <c r="I18" i="103"/>
  <c r="H18" i="103"/>
  <c r="M17" i="103"/>
  <c r="L17" i="103"/>
  <c r="J17" i="103"/>
  <c r="I17" i="103"/>
  <c r="H17" i="103"/>
  <c r="M16" i="103"/>
  <c r="L16" i="103"/>
  <c r="J16" i="103"/>
  <c r="I16" i="103"/>
  <c r="H16" i="103"/>
  <c r="M15" i="103"/>
  <c r="L15" i="103"/>
  <c r="K15" i="103"/>
  <c r="J15" i="103"/>
  <c r="I15" i="103"/>
  <c r="H15" i="103"/>
  <c r="N13" i="103"/>
  <c r="O13" i="103" s="1"/>
  <c r="K13" i="103"/>
  <c r="N12" i="103"/>
  <c r="O12" i="103" s="1"/>
  <c r="K12" i="103"/>
  <c r="N11" i="103"/>
  <c r="O11" i="103" s="1"/>
  <c r="K11" i="103"/>
  <c r="N10" i="103"/>
  <c r="O10" i="103" s="1"/>
  <c r="K10" i="103"/>
  <c r="N9" i="103"/>
  <c r="O9" i="103" s="1"/>
  <c r="K9" i="103"/>
  <c r="N8" i="103"/>
  <c r="O8" i="103" s="1"/>
  <c r="K8" i="103"/>
  <c r="N7" i="103"/>
  <c r="N29" i="103" s="1"/>
  <c r="K7" i="103"/>
  <c r="N6" i="103"/>
  <c r="O6" i="103" s="1"/>
  <c r="K6" i="103"/>
  <c r="K27" i="103" s="1"/>
  <c r="N5" i="103"/>
  <c r="K5" i="103"/>
  <c r="K30" i="103" s="1"/>
  <c r="N4" i="103"/>
  <c r="N22" i="103" s="1"/>
  <c r="K4" i="103"/>
  <c r="K23" i="103" s="1"/>
  <c r="C42" i="102"/>
  <c r="L28" i="102" s="1"/>
  <c r="C37" i="102"/>
  <c r="M30" i="102"/>
  <c r="L30" i="102"/>
  <c r="J30" i="102"/>
  <c r="I30" i="102"/>
  <c r="H30" i="102"/>
  <c r="D30" i="102"/>
  <c r="C30" i="102"/>
  <c r="M29" i="102"/>
  <c r="L29" i="102"/>
  <c r="J29" i="102"/>
  <c r="I29" i="102"/>
  <c r="H29" i="102"/>
  <c r="D29" i="102"/>
  <c r="C29" i="102"/>
  <c r="M28" i="102"/>
  <c r="J28" i="102"/>
  <c r="H28" i="102"/>
  <c r="D28" i="102"/>
  <c r="M27" i="102"/>
  <c r="L27" i="102"/>
  <c r="J27" i="102"/>
  <c r="I27" i="102"/>
  <c r="H27" i="102"/>
  <c r="C27" i="102"/>
  <c r="M26" i="102"/>
  <c r="J26" i="102"/>
  <c r="H26" i="102"/>
  <c r="C26" i="102"/>
  <c r="M25" i="102"/>
  <c r="J25" i="102"/>
  <c r="H25" i="102"/>
  <c r="L24" i="102"/>
  <c r="I24" i="102"/>
  <c r="M23" i="102"/>
  <c r="L23" i="102"/>
  <c r="J23" i="102"/>
  <c r="I23" i="102"/>
  <c r="H23" i="102"/>
  <c r="M22" i="102"/>
  <c r="L22" i="102"/>
  <c r="J22" i="102"/>
  <c r="I22" i="102"/>
  <c r="H22" i="102"/>
  <c r="M19" i="102"/>
  <c r="L19" i="102"/>
  <c r="J19" i="102"/>
  <c r="I19" i="102"/>
  <c r="H19" i="102"/>
  <c r="M18" i="102"/>
  <c r="L18" i="102"/>
  <c r="J18" i="102"/>
  <c r="I18" i="102"/>
  <c r="H18" i="102"/>
  <c r="M17" i="102"/>
  <c r="L17" i="102"/>
  <c r="J17" i="102"/>
  <c r="I17" i="102"/>
  <c r="H17" i="102"/>
  <c r="M16" i="102"/>
  <c r="L16" i="102"/>
  <c r="J16" i="102"/>
  <c r="I16" i="102"/>
  <c r="H16" i="102"/>
  <c r="M15" i="102"/>
  <c r="L15" i="102"/>
  <c r="J15" i="102"/>
  <c r="I15" i="102"/>
  <c r="H15" i="102"/>
  <c r="N13" i="102"/>
  <c r="K13" i="102"/>
  <c r="N12" i="102"/>
  <c r="K12" i="102"/>
  <c r="N11" i="102"/>
  <c r="K11" i="102"/>
  <c r="N10" i="102"/>
  <c r="O10" i="102" s="1"/>
  <c r="Q10" i="102" s="1"/>
  <c r="K10" i="102"/>
  <c r="N9" i="102"/>
  <c r="K9" i="102"/>
  <c r="N8" i="102"/>
  <c r="O8" i="102" s="1"/>
  <c r="Q8" i="102" s="1"/>
  <c r="K8" i="102"/>
  <c r="N7" i="102"/>
  <c r="O7" i="102" s="1"/>
  <c r="Q7" i="102" s="1"/>
  <c r="K7" i="102"/>
  <c r="N6" i="102"/>
  <c r="O6" i="102" s="1"/>
  <c r="Q6" i="102" s="1"/>
  <c r="K6" i="102"/>
  <c r="N5" i="102"/>
  <c r="K5" i="102"/>
  <c r="N4" i="102"/>
  <c r="O4" i="102" s="1"/>
  <c r="Q4" i="102" s="1"/>
  <c r="K4" i="102"/>
  <c r="C42" i="83"/>
  <c r="Q9" i="103" l="1"/>
  <c r="P9" i="103"/>
  <c r="Q11" i="103"/>
  <c r="P11" i="103"/>
  <c r="Q13" i="103"/>
  <c r="P13" i="103"/>
  <c r="Q6" i="103"/>
  <c r="P6" i="103"/>
  <c r="Q8" i="103"/>
  <c r="P8" i="103"/>
  <c r="Q10" i="103"/>
  <c r="P10" i="103"/>
  <c r="Q12" i="103"/>
  <c r="P12" i="103"/>
  <c r="R7" i="103"/>
  <c r="R11" i="103"/>
  <c r="N26" i="103"/>
  <c r="N27" i="103"/>
  <c r="N28" i="103"/>
  <c r="K17" i="103"/>
  <c r="R4" i="103"/>
  <c r="R6" i="103"/>
  <c r="R10" i="103"/>
  <c r="R12" i="103"/>
  <c r="N16" i="103"/>
  <c r="N19" i="103"/>
  <c r="N23" i="103"/>
  <c r="K24" i="103"/>
  <c r="L25" i="103"/>
  <c r="H26" i="103"/>
  <c r="L26" i="103"/>
  <c r="H28" i="103"/>
  <c r="L28" i="103"/>
  <c r="K29" i="103"/>
  <c r="N30" i="103"/>
  <c r="R5" i="103"/>
  <c r="R9" i="103"/>
  <c r="R13" i="103"/>
  <c r="N17" i="103"/>
  <c r="N25" i="103"/>
  <c r="O5" i="103"/>
  <c r="O7" i="103"/>
  <c r="J24" i="103"/>
  <c r="N24" i="103"/>
  <c r="K25" i="103"/>
  <c r="K26" i="103"/>
  <c r="K28" i="103"/>
  <c r="R8" i="103"/>
  <c r="O4" i="103"/>
  <c r="N15" i="103"/>
  <c r="K16" i="103"/>
  <c r="N18" i="103"/>
  <c r="K19" i="103"/>
  <c r="H24" i="103"/>
  <c r="L24" i="103"/>
  <c r="I25" i="103"/>
  <c r="M25" i="103"/>
  <c r="I26" i="103"/>
  <c r="M26" i="103"/>
  <c r="I28" i="103"/>
  <c r="N30" i="102"/>
  <c r="T102" i="102"/>
  <c r="K28" i="102"/>
  <c r="O9" i="102"/>
  <c r="Q9" i="102" s="1"/>
  <c r="O11" i="102"/>
  <c r="Q11" i="102" s="1"/>
  <c r="O12" i="102"/>
  <c r="Q12" i="102" s="1"/>
  <c r="O13" i="102"/>
  <c r="Q13" i="102" s="1"/>
  <c r="H24" i="102"/>
  <c r="J24" i="102"/>
  <c r="M24" i="102"/>
  <c r="I25" i="102"/>
  <c r="L25" i="102"/>
  <c r="I26" i="102"/>
  <c r="L26" i="102"/>
  <c r="I28" i="102"/>
  <c r="N29" i="102"/>
  <c r="K30" i="102"/>
  <c r="O5" i="102"/>
  <c r="Q5" i="102" s="1"/>
  <c r="P4" i="102"/>
  <c r="R4" i="102"/>
  <c r="P5" i="102"/>
  <c r="R5" i="102"/>
  <c r="P6" i="102"/>
  <c r="R6" i="102"/>
  <c r="P7" i="102"/>
  <c r="R7" i="102"/>
  <c r="P8" i="102"/>
  <c r="R8" i="102"/>
  <c r="P9" i="102"/>
  <c r="R9" i="102"/>
  <c r="P10" i="102"/>
  <c r="R10" i="102"/>
  <c r="P11" i="102"/>
  <c r="R11" i="102"/>
  <c r="P12" i="102"/>
  <c r="R12" i="102"/>
  <c r="R13" i="102"/>
  <c r="K15" i="102"/>
  <c r="N16" i="102"/>
  <c r="N17" i="102"/>
  <c r="K18" i="102"/>
  <c r="N19" i="102"/>
  <c r="K22" i="102"/>
  <c r="N23" i="102"/>
  <c r="K24" i="102"/>
  <c r="N25" i="102"/>
  <c r="N26" i="102"/>
  <c r="N27" i="102"/>
  <c r="N28" i="102"/>
  <c r="K29" i="102"/>
  <c r="N15" i="102"/>
  <c r="T94" i="102" s="1"/>
  <c r="K16" i="102"/>
  <c r="K17" i="102"/>
  <c r="N18" i="102"/>
  <c r="K19" i="102"/>
  <c r="N22" i="102"/>
  <c r="K23" i="102"/>
  <c r="N24" i="102"/>
  <c r="K25" i="102"/>
  <c r="K26" i="102"/>
  <c r="K27" i="102"/>
  <c r="C37" i="83"/>
  <c r="M30" i="83"/>
  <c r="L30" i="83"/>
  <c r="J30" i="83"/>
  <c r="I30" i="83"/>
  <c r="H30" i="83"/>
  <c r="D30" i="83"/>
  <c r="C30" i="83"/>
  <c r="M29" i="83"/>
  <c r="L29" i="83"/>
  <c r="J29" i="83"/>
  <c r="I29" i="83"/>
  <c r="H29" i="83"/>
  <c r="D29" i="83"/>
  <c r="C29" i="83"/>
  <c r="M28" i="83"/>
  <c r="L28" i="83"/>
  <c r="J28" i="83"/>
  <c r="I28" i="83"/>
  <c r="H28" i="83"/>
  <c r="D28" i="83"/>
  <c r="M27" i="83"/>
  <c r="L27" i="83"/>
  <c r="J27" i="83"/>
  <c r="I27" i="83"/>
  <c r="H27" i="83"/>
  <c r="C27" i="83"/>
  <c r="M26" i="83"/>
  <c r="L26" i="83"/>
  <c r="J26" i="83"/>
  <c r="I26" i="83"/>
  <c r="H26" i="83"/>
  <c r="C26" i="83"/>
  <c r="M25" i="83"/>
  <c r="L25" i="83"/>
  <c r="J25" i="83"/>
  <c r="I25" i="83"/>
  <c r="H25" i="83"/>
  <c r="M24" i="83"/>
  <c r="L24" i="83"/>
  <c r="J24" i="83"/>
  <c r="I24" i="83"/>
  <c r="H24" i="83"/>
  <c r="M23" i="83"/>
  <c r="L23" i="83"/>
  <c r="J23" i="83"/>
  <c r="I23" i="83"/>
  <c r="H23" i="83"/>
  <c r="M22" i="83"/>
  <c r="L22" i="83"/>
  <c r="J22" i="83"/>
  <c r="I22" i="83"/>
  <c r="H22" i="83"/>
  <c r="M19" i="83"/>
  <c r="L19" i="83"/>
  <c r="J19" i="83"/>
  <c r="I19" i="83"/>
  <c r="H19" i="83"/>
  <c r="M18" i="83"/>
  <c r="L18" i="83"/>
  <c r="J18" i="83"/>
  <c r="I18" i="83"/>
  <c r="H18" i="83"/>
  <c r="M17" i="83"/>
  <c r="L17" i="83"/>
  <c r="J17" i="83"/>
  <c r="I17" i="83"/>
  <c r="H17" i="83"/>
  <c r="M16" i="83"/>
  <c r="L16" i="83"/>
  <c r="J16" i="83"/>
  <c r="I16" i="83"/>
  <c r="H16" i="83"/>
  <c r="M15" i="83"/>
  <c r="L15" i="83"/>
  <c r="J15" i="83"/>
  <c r="I15" i="83"/>
  <c r="H15" i="83"/>
  <c r="N13" i="83"/>
  <c r="R13" i="83" s="1"/>
  <c r="K13" i="83"/>
  <c r="N12" i="83"/>
  <c r="R12" i="83" s="1"/>
  <c r="K12" i="83"/>
  <c r="N11" i="83"/>
  <c r="R11" i="83" s="1"/>
  <c r="K11" i="83"/>
  <c r="N10" i="83"/>
  <c r="R10" i="83" s="1"/>
  <c r="K10" i="83"/>
  <c r="N9" i="83"/>
  <c r="R9" i="83" s="1"/>
  <c r="K9" i="83"/>
  <c r="N8" i="83"/>
  <c r="R8" i="83" s="1"/>
  <c r="K8" i="83"/>
  <c r="N7" i="83"/>
  <c r="R7" i="83" s="1"/>
  <c r="K7" i="83"/>
  <c r="N6" i="83"/>
  <c r="R6" i="83" s="1"/>
  <c r="K6" i="83"/>
  <c r="N5" i="83"/>
  <c r="R5" i="83" s="1"/>
  <c r="K5" i="83"/>
  <c r="N4" i="83"/>
  <c r="R4" i="83" s="1"/>
  <c r="K4" i="83"/>
  <c r="K28" i="83" s="1"/>
  <c r="Q5" i="103" l="1"/>
  <c r="P5" i="103"/>
  <c r="Q4" i="103"/>
  <c r="P4" i="103"/>
  <c r="Q7" i="103"/>
  <c r="P7" i="103"/>
  <c r="K30" i="83"/>
  <c r="P13" i="102"/>
  <c r="N29" i="83"/>
  <c r="N30" i="83"/>
  <c r="O4" i="83"/>
  <c r="O5" i="83"/>
  <c r="O6" i="83"/>
  <c r="O7" i="83"/>
  <c r="O8" i="83"/>
  <c r="O9" i="83"/>
  <c r="O10" i="83"/>
  <c r="O11" i="83"/>
  <c r="O12" i="83"/>
  <c r="O13" i="83"/>
  <c r="N15" i="83"/>
  <c r="K16" i="83"/>
  <c r="N17" i="83"/>
  <c r="K18" i="83"/>
  <c r="N19" i="83"/>
  <c r="K22" i="83"/>
  <c r="N23" i="83"/>
  <c r="K24" i="83"/>
  <c r="N25" i="83"/>
  <c r="N26" i="83"/>
  <c r="N27" i="83"/>
  <c r="N28" i="83"/>
  <c r="K29" i="83"/>
  <c r="K15" i="83"/>
  <c r="N16" i="83"/>
  <c r="K17" i="83"/>
  <c r="N18" i="83"/>
  <c r="K19" i="83"/>
  <c r="N22" i="83"/>
  <c r="K23" i="83"/>
  <c r="N24" i="83"/>
  <c r="K25" i="83"/>
  <c r="K26" i="83"/>
  <c r="K27" i="83"/>
  <c r="P13" i="83" l="1"/>
  <c r="Q13" i="83"/>
  <c r="P11" i="83"/>
  <c r="Q11" i="83"/>
  <c r="P9" i="83"/>
  <c r="Q9" i="83"/>
  <c r="P7" i="83"/>
  <c r="Q7" i="83"/>
  <c r="Q5" i="83"/>
  <c r="P5" i="83"/>
  <c r="P12" i="83"/>
  <c r="Q12" i="83"/>
  <c r="P10" i="83"/>
  <c r="Q10" i="83"/>
  <c r="P8" i="83"/>
  <c r="Q8" i="83"/>
  <c r="P6" i="83"/>
  <c r="Q6" i="83"/>
  <c r="P4" i="83"/>
  <c r="Q4" i="83"/>
</calcChain>
</file>

<file path=xl/comments1.xml><?xml version="1.0" encoding="utf-8"?>
<comments xmlns="http://schemas.openxmlformats.org/spreadsheetml/2006/main">
  <authors>
    <author>שי שקרוב</author>
  </authors>
  <commentList>
    <comment ref="N3" authorId="0" shape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שי שקרוב</author>
  </authors>
  <commentList>
    <comment ref="N3" authorId="0" shape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שי שקרוב</author>
  </authors>
  <commentList>
    <comment ref="N3" authorId="0" shape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8" authorId="0" shape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4" authorId="0" shape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3" authorId="0" shape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1" authorId="0" shape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01" authorId="0" shape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<sst xmlns="http://schemas.openxmlformats.org/spreadsheetml/2006/main" count="664" uniqueCount="168">
  <si>
    <t>חשבונאות</t>
  </si>
  <si>
    <t>שם הסטודנט</t>
  </si>
  <si>
    <t>דניאל</t>
  </si>
  <si>
    <t>טלי</t>
  </si>
  <si>
    <t>יעל</t>
  </si>
  <si>
    <t>מיכל</t>
  </si>
  <si>
    <t>רמי</t>
  </si>
  <si>
    <t>שרון</t>
  </si>
  <si>
    <t>מגדר</t>
  </si>
  <si>
    <t>ציון ת. 1</t>
  </si>
  <si>
    <t>ציון ת. 2</t>
  </si>
  <si>
    <t>ציון ת. 3</t>
  </si>
  <si>
    <t>ממוצע  תרגילים</t>
  </si>
  <si>
    <t>ציון פרויקט</t>
  </si>
  <si>
    <t>ציון בחינה</t>
  </si>
  <si>
    <t>ציון סופי</t>
  </si>
  <si>
    <t>ציון במילים</t>
  </si>
  <si>
    <t>ז</t>
  </si>
  <si>
    <t>נ</t>
  </si>
  <si>
    <t>שחר</t>
  </si>
  <si>
    <t xml:space="preserve">ממוצע  כיתתי </t>
  </si>
  <si>
    <t>חציון</t>
  </si>
  <si>
    <t>שכיח</t>
  </si>
  <si>
    <t>מקסימום</t>
  </si>
  <si>
    <t>מינימום</t>
  </si>
  <si>
    <t>נכשלו</t>
  </si>
  <si>
    <t>משקל תרגיל 1</t>
  </si>
  <si>
    <t>משקל תרגיל 2</t>
  </si>
  <si>
    <t>משקל תרגיל 3</t>
  </si>
  <si>
    <t>משקל פרויקט</t>
  </si>
  <si>
    <t>משקל מבחן</t>
  </si>
  <si>
    <t>סה"כ</t>
  </si>
  <si>
    <t>מ-</t>
  </si>
  <si>
    <t>עד</t>
  </si>
  <si>
    <t>נכשל</t>
  </si>
  <si>
    <t>עובר</t>
  </si>
  <si>
    <t>מצטיין</t>
  </si>
  <si>
    <t>שלחו תרגיל/ נבחנו</t>
  </si>
  <si>
    <t>ס"ה סטודנטים</t>
  </si>
  <si>
    <t>נשים מצטיינות</t>
  </si>
  <si>
    <t>נשים או מצטיינים</t>
  </si>
  <si>
    <t>ת.ז.</t>
  </si>
  <si>
    <t>יעקב</t>
  </si>
  <si>
    <t>סטיית תקן</t>
  </si>
  <si>
    <t>שונות</t>
  </si>
  <si>
    <t>תרגול באקסל</t>
  </si>
  <si>
    <t>נתונים</t>
  </si>
  <si>
    <t>חישובים</t>
  </si>
  <si>
    <t>טבלת משקולות</t>
  </si>
  <si>
    <t>טבלת עזר</t>
  </si>
  <si>
    <t>מיקוד</t>
  </si>
  <si>
    <t>טלפון</t>
  </si>
  <si>
    <t>עברו</t>
  </si>
  <si>
    <t>מצטיינים</t>
  </si>
  <si>
    <t>התמחות</t>
  </si>
  <si>
    <t>שיווק</t>
  </si>
  <si>
    <t>סטודנטים</t>
  </si>
  <si>
    <t>סטודנטיות</t>
  </si>
  <si>
    <t>סמלים</t>
  </si>
  <si>
    <t>לא נכשלו</t>
  </si>
  <si>
    <t>מתוכם:</t>
  </si>
  <si>
    <t>&gt;=84.50</t>
  </si>
  <si>
    <t>בממוצע:</t>
  </si>
  <si>
    <t>ממוצע של מקבלי ציון "עובר":</t>
  </si>
  <si>
    <t/>
  </si>
  <si>
    <t>מלגה</t>
  </si>
  <si>
    <t>קריטריונים לסינון מתקדם</t>
  </si>
  <si>
    <t>&gt;=85</t>
  </si>
  <si>
    <t>&lt;60</t>
  </si>
  <si>
    <t>&gt;=60</t>
  </si>
  <si>
    <t>&lt;85</t>
  </si>
  <si>
    <t>י*</t>
  </si>
  <si>
    <t>שם בית השקעות</t>
  </si>
  <si>
    <t>שם מסלול</t>
  </si>
  <si>
    <t>סוג מסלול</t>
  </si>
  <si>
    <t>מצטברת</t>
  </si>
  <si>
    <t>תשואה 12m</t>
  </si>
  <si>
    <t>ס"ת לתקופת הדוח</t>
  </si>
  <si>
    <t>ס"ת m12</t>
  </si>
  <si>
    <t>שארפ לתקופת הדוח</t>
  </si>
  <si>
    <t>שארפ 12m</t>
  </si>
  <si>
    <t>השקעות חול</t>
  </si>
  <si>
    <t>אג"ח ממשלתי ופקדונות</t>
  </si>
  <si>
    <t>אג"ח קונצרני</t>
  </si>
  <si>
    <t>מניות</t>
  </si>
  <si>
    <t>ממוצע 12 מניות</t>
  </si>
  <si>
    <t>ממוצע 12 קונצרני</t>
  </si>
  <si>
    <t>תשואה 3m</t>
  </si>
  <si>
    <t>חודש אחרון</t>
  </si>
  <si>
    <t>מס' פוליסה פיננסית</t>
  </si>
  <si>
    <t>מנורה top finance</t>
  </si>
  <si>
    <t>מנורה-מניות חו"ל</t>
  </si>
  <si>
    <t>נועז</t>
  </si>
  <si>
    <t>מנורה-מט"ח</t>
  </si>
  <si>
    <t>הגנתי</t>
  </si>
  <si>
    <t>הראל - מגוון</t>
  </si>
  <si>
    <t>הראל - מסלול חו"ל</t>
  </si>
  <si>
    <t>מאוזן</t>
  </si>
  <si>
    <t>הראל-מסלול מניות</t>
  </si>
  <si>
    <t>אקסלנס invest</t>
  </si>
  <si>
    <t>הפניקס-אקסלנס אינווסט תיק מנוהל כללי 1</t>
  </si>
  <si>
    <t>מנורה-מניות</t>
  </si>
  <si>
    <t>מנורה-קרן י' חדשה</t>
  </si>
  <si>
    <t>הראל-מסלול כללי 1</t>
  </si>
  <si>
    <t>הפניקס-אקסלנס אינווסט תיק מנוהל אג"ח 4</t>
  </si>
  <si>
    <t>אקטיבי</t>
  </si>
  <si>
    <t>הראל-מסלול כללי 3</t>
  </si>
  <si>
    <t>מגדלור לחיים</t>
  </si>
  <si>
    <t>מגדל - כללי 1 - קרן י' החדשה</t>
  </si>
  <si>
    <t>מנורה - אג"ח ממשלתי שקלי</t>
  </si>
  <si>
    <t>ממשלתי ללא מניות</t>
  </si>
  <si>
    <t>אין נתון</t>
  </si>
  <si>
    <t>מגדל-מנייתי</t>
  </si>
  <si>
    <t>מגדל-מסלול השקעה לפי הכשר הלכתי</t>
  </si>
  <si>
    <t>מנורה-שקלים</t>
  </si>
  <si>
    <t>כלל פיננסים - חסכון פיננסי</t>
  </si>
  <si>
    <t>כלל-חסכון בטוחה תיק מנוהל אג"ח 5</t>
  </si>
  <si>
    <t>הפניקס-אקסלנס אינווסט תיק מנוהל אג"ח 3</t>
  </si>
  <si>
    <t>מנורה - מסלול כהלכה</t>
  </si>
  <si>
    <t>כלל-חסכון בטוחה תיק מנוהל-מניות</t>
  </si>
  <si>
    <t>כלל-חסכון בטוחה תיק מנוהל אג"ח 3</t>
  </si>
  <si>
    <t>הראל-מסלול מט"ח</t>
  </si>
  <si>
    <t>כלל-חסכון בטוחה תיק מנוהל אג"ח 2</t>
  </si>
  <si>
    <t>מגדל-כללי 3</t>
  </si>
  <si>
    <t>הראל-מסלול כללי 2</t>
  </si>
  <si>
    <t>כלל-חסכון בטוחה תיק מנוהל אג"ח 1</t>
  </si>
  <si>
    <t>מנורה-צמוד מדד</t>
  </si>
  <si>
    <t>מגדל-כללי 2</t>
  </si>
  <si>
    <t>מגדל-אג"ח ופקדונות (מינ' 65%)</t>
  </si>
  <si>
    <t>הפניקס-אקסלנס אינווסט תיק מנוהל אג"ח 2</t>
  </si>
  <si>
    <t>כלל-חסכון בטוחה תיק מנוהל-שקלי</t>
  </si>
  <si>
    <t>הראל-מסלול שקלי</t>
  </si>
  <si>
    <t>הפניקס-אקסלנס אינווסט תיק מנוהל אג"ח 1</t>
  </si>
  <si>
    <t>מגדל-אג"ח ופקדונות (מינ' 80%)</t>
  </si>
  <si>
    <t>הראל - מסלול אג"ח חברות</t>
  </si>
  <si>
    <t>מגדל-אג"ח ופקדונות (100%)</t>
  </si>
  <si>
    <t>מנורה - אג"ח ממשלתי צמוד מדד</t>
  </si>
  <si>
    <t>הראל-מסלול כללי ללא מניות</t>
  </si>
  <si>
    <t>כלל-חסכון בטוחה תיק מנוהל-מדדי</t>
  </si>
  <si>
    <t>הראל-מסלול מדד</t>
  </si>
  <si>
    <t>הראל - מסלול אג"ח מדינה</t>
  </si>
  <si>
    <t>הראל-מסלול מק"מ</t>
  </si>
  <si>
    <t>הפניקס-אקסלנס אינווסט תיק מנוהל אג"ח קצר מועד</t>
  </si>
  <si>
    <t>מנורה-טווח קצר</t>
  </si>
  <si>
    <t>הפניקס-אקסלנס אינווסט תיק מנוהל אג"ח חו"ל</t>
  </si>
  <si>
    <t xml:space="preserve">אין נתון </t>
  </si>
  <si>
    <t>הפניקס-אקסלנס אינווסט תיק מנוהל תעודות סל</t>
  </si>
  <si>
    <t>מגדל-מט"ח (מינ' 50%)</t>
  </si>
  <si>
    <t>מגדל-צמוד לדולר</t>
  </si>
  <si>
    <t>מגדל-מט"ח (מינ' 70%)</t>
  </si>
  <si>
    <t>מקור: הורד בתאריך 26/11/2014</t>
  </si>
  <si>
    <t>&gt;10%</t>
  </si>
  <si>
    <t>מספר התכניות בסוג מסלול נועז שהתשואה השנתית שלהן מעל 10%</t>
  </si>
  <si>
    <t>המשימה</t>
  </si>
  <si>
    <t>הפתרון</t>
  </si>
  <si>
    <t>טבלאות תנאים</t>
  </si>
  <si>
    <t>התשואה השנתית המקסימלית בסוג מסלול הגנתי</t>
  </si>
  <si>
    <t>סטיית התקן השנתית המינימלית בסוג מסלול נועז או אקטיבי</t>
  </si>
  <si>
    <t>סכום מושקע</t>
  </si>
  <si>
    <t>הסכום המושקע בפוליסות בסוג מסלול  מאוזן עם השקעות חול בשיעור של 20% ומעלה, ובפוליסות בסוג מסלול אקטיבי עם השקעות במניות בשיעור הנופל מ- 45%</t>
  </si>
  <si>
    <t>&gt;20%</t>
  </si>
  <si>
    <t>&lt;45%</t>
  </si>
  <si>
    <t>התשואה הרבעונית הממוצעת של הפוליסות מבית הראל</t>
  </si>
  <si>
    <t>הראל*</t>
  </si>
  <si>
    <t>סטיית התקן של הסכומים המושקעים בפוליסות מבית מנורה ובסוג מסלול נועז</t>
  </si>
  <si>
    <t>מנורה*</t>
  </si>
  <si>
    <t>השם המסלול של הפוליסה שמספרה הסידורי הוא 132</t>
  </si>
  <si>
    <t>השונות בסכום המושקע בפוליסות שהתשואה השנתית שלהן נמוכה מהתשואה השנתית הממוצעת של כל הפוליסות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</si>
</sst>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₪&quot;\ #,##0;[Red]&quot;₪&quot;\ \-#,##0"/>
    <numFmt numFmtId="43" formatCode="_ * #,##0.00_ ;_ * \-#,##0.00_ ;_ * &quot;-&quot;??_ ;_ @_ "/>
    <numFmt numFmtId="164" formatCode="[$-1000000]00000000\-0"/>
    <numFmt numFmtId="165" formatCode="[&lt;=9999999][$-1000000]###\-####;[$-1000000]\(###\)\ ###\-####"/>
    <numFmt numFmtId="166" formatCode="[$-1000000]00000"/>
    <numFmt numFmtId="167" formatCode="0.0"/>
    <numFmt numFmtId="168" formatCode="0.0000"/>
  </numFmts>
  <fonts count="15">
    <font>
      <sz val="10"/>
      <name val="Arial"/>
      <charset val="177"/>
    </font>
    <font>
      <sz val="10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Geneva"/>
      <charset val="177"/>
    </font>
    <font>
      <sz val="10"/>
      <name val="MS Sans Serif"/>
      <family val="2"/>
      <charset val="177"/>
    </font>
    <font>
      <sz val="10"/>
      <name val="David"/>
      <family val="2"/>
      <charset val="177"/>
    </font>
    <font>
      <b/>
      <sz val="10"/>
      <name val="Arial"/>
      <family val="2"/>
    </font>
    <font>
      <b/>
      <u val="double"/>
      <sz val="24"/>
      <color indexed="12"/>
      <name val="David"/>
      <family val="2"/>
      <charset val="177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Arial"/>
      <family val="2"/>
      <scheme val="minor"/>
    </font>
    <font>
      <sz val="8"/>
      <color rgb="FF000000"/>
      <name val="Arial"/>
      <family val="2"/>
      <scheme val="minor"/>
    </font>
    <font>
      <sz val="9"/>
      <color rgb="FF000000"/>
      <name val="Arial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  <bgColor indexed="64"/>
      </patternFill>
    </fill>
    <fill>
      <patternFill patternType="solid">
        <fgColor rgb="FFEAEAEA"/>
        <bgColor indexed="64"/>
      </patternFill>
    </fill>
  </fills>
  <borders count="32">
    <border>
      <left/>
      <right/>
      <top/>
      <bottom/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 style="double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double">
        <color rgb="FF0066FF"/>
      </bottom>
      <diagonal/>
    </border>
    <border>
      <left style="thin">
        <color rgb="FF0066FF"/>
      </left>
      <right style="double">
        <color rgb="FF0066FF"/>
      </right>
      <top style="thin">
        <color rgb="FF0066FF"/>
      </top>
      <bottom style="double">
        <color rgb="FF0066FF"/>
      </bottom>
      <diagonal/>
    </border>
    <border>
      <left style="thin">
        <color rgb="FF0066FF"/>
      </left>
      <right style="thin">
        <color rgb="FF0066FF"/>
      </right>
      <top/>
      <bottom style="thin">
        <color rgb="FF0066FF"/>
      </bottom>
      <diagonal/>
    </border>
    <border>
      <left style="thin">
        <color rgb="FF0066FF"/>
      </left>
      <right style="double">
        <color rgb="FF0066FF"/>
      </right>
      <top/>
      <bottom style="thin">
        <color rgb="FF0066FF"/>
      </bottom>
      <diagonal/>
    </border>
    <border>
      <left style="double">
        <color rgb="FF0066FF"/>
      </left>
      <right style="thin">
        <color rgb="FF0066FF"/>
      </right>
      <top style="double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 style="double">
        <color rgb="FF0066FF"/>
      </top>
      <bottom style="thin">
        <color rgb="FF0066FF"/>
      </bottom>
      <diagonal/>
    </border>
    <border>
      <left style="thin">
        <color rgb="FF0066FF"/>
      </left>
      <right style="double">
        <color rgb="FF0066FF"/>
      </right>
      <top style="double">
        <color rgb="FF0066FF"/>
      </top>
      <bottom style="thin">
        <color rgb="FF0066FF"/>
      </bottom>
      <diagonal/>
    </border>
    <border>
      <left style="double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double">
        <color rgb="FF0066FF"/>
      </left>
      <right style="thin">
        <color rgb="FF0066FF"/>
      </right>
      <top style="thin">
        <color rgb="FF0066FF"/>
      </top>
      <bottom style="double">
        <color rgb="FF0066FF"/>
      </bottom>
      <diagonal/>
    </border>
    <border>
      <left style="thin">
        <color rgb="FF0066FF"/>
      </left>
      <right style="double">
        <color rgb="FF0066FF"/>
      </right>
      <top style="double">
        <color rgb="FF0066FF"/>
      </top>
      <bottom style="medium">
        <color rgb="FF0066FF"/>
      </bottom>
      <diagonal/>
    </border>
    <border>
      <left style="thin">
        <color rgb="FF0066FF"/>
      </left>
      <right style="thin">
        <color rgb="FF0066FF"/>
      </right>
      <top style="double">
        <color rgb="FF0066FF"/>
      </top>
      <bottom style="medium">
        <color rgb="FF0066FF"/>
      </bottom>
      <diagonal/>
    </border>
    <border>
      <left/>
      <right style="thin">
        <color rgb="FF0066FF"/>
      </right>
      <top style="double">
        <color rgb="FF0066FF"/>
      </top>
      <bottom style="medium">
        <color rgb="FF0066FF"/>
      </bottom>
      <diagonal/>
    </border>
    <border>
      <left/>
      <right style="thin">
        <color rgb="FF0066FF"/>
      </right>
      <top/>
      <bottom style="thin">
        <color rgb="FF0066FF"/>
      </bottom>
      <diagonal/>
    </border>
    <border>
      <left/>
      <right style="thin">
        <color rgb="FF0066FF"/>
      </right>
      <top style="thin">
        <color rgb="FF0066FF"/>
      </top>
      <bottom style="thin">
        <color rgb="FF0066FF"/>
      </bottom>
      <diagonal/>
    </border>
    <border>
      <left/>
      <right style="thin">
        <color rgb="FF0066FF"/>
      </right>
      <top style="thin">
        <color rgb="FF0066FF"/>
      </top>
      <bottom style="double">
        <color rgb="FF0066FF"/>
      </bottom>
      <diagonal/>
    </border>
    <border>
      <left style="double">
        <color rgb="FF0066FF"/>
      </left>
      <right style="medium">
        <color rgb="FF0066FF"/>
      </right>
      <top style="double">
        <color rgb="FF0066FF"/>
      </top>
      <bottom style="thin">
        <color rgb="FF0066FF"/>
      </bottom>
      <diagonal/>
    </border>
    <border>
      <left style="double">
        <color rgb="FF0066FF"/>
      </left>
      <right style="medium">
        <color rgb="FF0066FF"/>
      </right>
      <top style="thin">
        <color rgb="FF0066FF"/>
      </top>
      <bottom style="thin">
        <color rgb="FF0066FF"/>
      </bottom>
      <diagonal/>
    </border>
    <border>
      <left style="double">
        <color rgb="FF0066FF"/>
      </left>
      <right style="medium">
        <color rgb="FF0066FF"/>
      </right>
      <top style="thin">
        <color rgb="FF0066FF"/>
      </top>
      <bottom style="double">
        <color rgb="FF0066FF"/>
      </bottom>
      <diagonal/>
    </border>
    <border>
      <left style="thin">
        <color rgb="FF0066FF"/>
      </left>
      <right/>
      <top style="double">
        <color rgb="FF0066FF"/>
      </top>
      <bottom style="thin">
        <color rgb="FF0066FF"/>
      </bottom>
      <diagonal/>
    </border>
    <border>
      <left/>
      <right style="double">
        <color rgb="FF0066FF"/>
      </right>
      <top style="double">
        <color rgb="FF0066FF"/>
      </top>
      <bottom style="thin">
        <color rgb="FF0066FF"/>
      </bottom>
      <diagonal/>
    </border>
    <border>
      <left style="thin">
        <color rgb="FF0066FF"/>
      </left>
      <right/>
      <top style="double">
        <color rgb="FF0066FF"/>
      </top>
      <bottom style="medium">
        <color rgb="FF0066FF"/>
      </bottom>
      <diagonal/>
    </border>
    <border>
      <left style="thin">
        <color rgb="FF0066FF"/>
      </left>
      <right/>
      <top/>
      <bottom style="thin">
        <color rgb="FF0066FF"/>
      </bottom>
      <diagonal/>
    </border>
    <border>
      <left style="thin">
        <color rgb="FF0066FF"/>
      </left>
      <right/>
      <top style="thin">
        <color rgb="FF0066FF"/>
      </top>
      <bottom style="thin">
        <color rgb="FF0066FF"/>
      </bottom>
      <diagonal/>
    </border>
    <border>
      <left style="thin">
        <color rgb="FF0066FF"/>
      </left>
      <right/>
      <top style="thin">
        <color rgb="FF0066FF"/>
      </top>
      <bottom style="double">
        <color rgb="FF0066FF"/>
      </bottom>
      <diagonal/>
    </border>
    <border>
      <left style="double">
        <color rgb="FF0066FF"/>
      </left>
      <right style="thin">
        <color rgb="FF0066FF"/>
      </right>
      <top style="thin">
        <color rgb="FF0066FF"/>
      </top>
      <bottom/>
      <diagonal/>
    </border>
    <border>
      <left style="thin">
        <color rgb="FF0066FF"/>
      </left>
      <right style="thin">
        <color rgb="FF0066FF"/>
      </right>
      <top style="thin">
        <color rgb="FF0066FF"/>
      </top>
      <bottom/>
      <diagonal/>
    </border>
    <border>
      <left style="thin">
        <color rgb="FF0066FF"/>
      </left>
      <right style="double">
        <color rgb="FF0066FF"/>
      </right>
      <top style="thin">
        <color rgb="FF0066FF"/>
      </top>
      <bottom/>
      <diagonal/>
    </border>
    <border>
      <left style="thin">
        <color rgb="FF0066FF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" fillId="0" borderId="0" applyNumberFormat="0">
      <alignment horizontal="left"/>
    </xf>
    <xf numFmtId="0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>
      <alignment horizontal="right"/>
    </xf>
    <xf numFmtId="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14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2" fontId="0" fillId="0" borderId="0" xfId="0" applyNumberFormat="1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5" fontId="0" fillId="0" borderId="5" xfId="0" applyNumberFormat="1" applyBorder="1"/>
    <xf numFmtId="165" fontId="0" fillId="0" borderId="1" xfId="0" applyNumberFormat="1" applyBorder="1"/>
    <xf numFmtId="165" fontId="0" fillId="0" borderId="3" xfId="0" applyNumberFormat="1" applyBorder="1"/>
    <xf numFmtId="166" fontId="0" fillId="0" borderId="5" xfId="0" applyNumberFormat="1" applyBorder="1"/>
    <xf numFmtId="166" fontId="0" fillId="0" borderId="1" xfId="0" applyNumberFormat="1" applyBorder="1"/>
    <xf numFmtId="166" fontId="0" fillId="0" borderId="3" xfId="0" applyNumberFormat="1" applyBorder="1"/>
    <xf numFmtId="2" fontId="0" fillId="0" borderId="5" xfId="0" applyNumberFormat="1" applyBorder="1"/>
    <xf numFmtId="2" fontId="0" fillId="0" borderId="1" xfId="0" applyNumberFormat="1" applyBorder="1"/>
    <xf numFmtId="2" fontId="0" fillId="0" borderId="3" xfId="0" applyNumberFormat="1" applyBorder="1"/>
    <xf numFmtId="167" fontId="0" fillId="0" borderId="5" xfId="0" applyNumberFormat="1" applyBorder="1"/>
    <xf numFmtId="167" fontId="0" fillId="0" borderId="1" xfId="0" applyNumberFormat="1" applyBorder="1"/>
    <xf numFmtId="167" fontId="0" fillId="0" borderId="3" xfId="0" applyNumberFormat="1" applyBorder="1"/>
    <xf numFmtId="0" fontId="0" fillId="0" borderId="8" xfId="0" applyBorder="1"/>
    <xf numFmtId="0" fontId="0" fillId="0" borderId="9" xfId="0" applyBorder="1"/>
    <xf numFmtId="0" fontId="0" fillId="0" borderId="2" xfId="0" applyBorder="1" applyAlignment="1">
      <alignment horizontal="right"/>
    </xf>
    <xf numFmtId="2" fontId="0" fillId="0" borderId="2" xfId="0" applyNumberFormat="1" applyBorder="1"/>
    <xf numFmtId="2" fontId="0" fillId="0" borderId="4" xfId="0" applyNumberFormat="1" applyBorder="1"/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164" fontId="0" fillId="0" borderId="1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9" fontId="0" fillId="0" borderId="9" xfId="10" applyNumberFormat="1" applyFont="1" applyBorder="1"/>
    <xf numFmtId="9" fontId="0" fillId="0" borderId="2" xfId="10" applyNumberFormat="1" applyFont="1" applyBorder="1"/>
    <xf numFmtId="9" fontId="0" fillId="0" borderId="4" xfId="0" applyNumberFormat="1" applyBorder="1"/>
    <xf numFmtId="0" fontId="2" fillId="0" borderId="5" xfId="0" applyFont="1" applyBorder="1"/>
    <xf numFmtId="0" fontId="2" fillId="0" borderId="1" xfId="0" applyFont="1" applyBorder="1"/>
    <xf numFmtId="0" fontId="2" fillId="0" borderId="3" xfId="0" applyFont="1" applyBorder="1"/>
    <xf numFmtId="0" fontId="6" fillId="0" borderId="23" xfId="0" applyFont="1" applyBorder="1" applyAlignment="1">
      <alignment vertical="top" wrapText="1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2" fontId="2" fillId="0" borderId="0" xfId="0" applyNumberFormat="1" applyFont="1"/>
    <xf numFmtId="0" fontId="2" fillId="0" borderId="28" xfId="0" applyFont="1" applyBorder="1"/>
    <xf numFmtId="0" fontId="2" fillId="0" borderId="28" xfId="0" applyFont="1" applyBorder="1" applyAlignment="1">
      <alignment horizontal="left"/>
    </xf>
    <xf numFmtId="4" fontId="0" fillId="0" borderId="28" xfId="0" applyNumberFormat="1" applyBorder="1"/>
    <xf numFmtId="4" fontId="0" fillId="0" borderId="29" xfId="0" applyNumberFormat="1" applyBorder="1"/>
    <xf numFmtId="4" fontId="0" fillId="0" borderId="3" xfId="0" applyNumberFormat="1" applyBorder="1"/>
    <xf numFmtId="4" fontId="0" fillId="0" borderId="4" xfId="0" applyNumberFormat="1" applyBorder="1"/>
    <xf numFmtId="4" fontId="2" fillId="0" borderId="3" xfId="0" applyNumberFormat="1" applyFont="1" applyBorder="1" applyAlignment="1"/>
    <xf numFmtId="0" fontId="2" fillId="0" borderId="0" xfId="0" applyFont="1"/>
    <xf numFmtId="0" fontId="7" fillId="0" borderId="0" xfId="0" applyFont="1" applyAlignment="1"/>
    <xf numFmtId="0" fontId="6" fillId="0" borderId="12" xfId="0" applyFont="1" applyBorder="1" applyAlignment="1">
      <alignment vertical="top" wrapText="1"/>
    </xf>
    <xf numFmtId="0" fontId="1" fillId="0" borderId="0" xfId="15"/>
    <xf numFmtId="0" fontId="12" fillId="4" borderId="31" xfId="15" applyFont="1" applyFill="1" applyBorder="1" applyAlignment="1">
      <alignment wrapText="1"/>
    </xf>
    <xf numFmtId="0" fontId="13" fillId="4" borderId="31" xfId="15" applyFont="1" applyFill="1" applyBorder="1" applyAlignment="1">
      <alignment wrapText="1"/>
    </xf>
    <xf numFmtId="0" fontId="12" fillId="5" borderId="31" xfId="15" applyFont="1" applyFill="1" applyBorder="1" applyAlignment="1">
      <alignment wrapText="1"/>
    </xf>
    <xf numFmtId="0" fontId="13" fillId="5" borderId="31" xfId="15" applyFont="1" applyFill="1" applyBorder="1" applyAlignment="1">
      <alignment wrapText="1"/>
    </xf>
    <xf numFmtId="0" fontId="14" fillId="0" borderId="0" xfId="16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3" fillId="4" borderId="31" xfId="15" applyFont="1" applyFill="1" applyBorder="1" applyAlignment="1"/>
    <xf numFmtId="10" fontId="12" fillId="4" borderId="31" xfId="15" applyNumberFormat="1" applyFont="1" applyFill="1" applyBorder="1" applyAlignment="1">
      <alignment horizontal="right"/>
    </xf>
    <xf numFmtId="0" fontId="12" fillId="4" borderId="31" xfId="15" applyFont="1" applyFill="1" applyBorder="1" applyAlignment="1">
      <alignment horizontal="right"/>
    </xf>
    <xf numFmtId="9" fontId="12" fillId="4" borderId="31" xfId="15" applyNumberFormat="1" applyFont="1" applyFill="1" applyBorder="1" applyAlignment="1">
      <alignment horizontal="right"/>
    </xf>
    <xf numFmtId="10" fontId="13" fillId="4" borderId="31" xfId="15" applyNumberFormat="1" applyFont="1" applyFill="1" applyBorder="1" applyAlignment="1"/>
    <xf numFmtId="0" fontId="13" fillId="5" borderId="31" xfId="15" applyFont="1" applyFill="1" applyBorder="1" applyAlignment="1"/>
    <xf numFmtId="10" fontId="12" fillId="5" borderId="31" xfId="15" applyNumberFormat="1" applyFont="1" applyFill="1" applyBorder="1" applyAlignment="1">
      <alignment horizontal="right"/>
    </xf>
    <xf numFmtId="0" fontId="12" fillId="5" borderId="31" xfId="15" applyFont="1" applyFill="1" applyBorder="1" applyAlignment="1">
      <alignment horizontal="right"/>
    </xf>
    <xf numFmtId="9" fontId="13" fillId="5" borderId="31" xfId="15" applyNumberFormat="1" applyFont="1" applyFill="1" applyBorder="1" applyAlignment="1"/>
    <xf numFmtId="9" fontId="12" fillId="5" borderId="31" xfId="15" applyNumberFormat="1" applyFont="1" applyFill="1" applyBorder="1" applyAlignment="1">
      <alignment horizontal="right"/>
    </xf>
    <xf numFmtId="10" fontId="13" fillId="5" borderId="31" xfId="15" applyNumberFormat="1" applyFont="1" applyFill="1" applyBorder="1" applyAlignment="1"/>
    <xf numFmtId="9" fontId="13" fillId="4" borderId="31" xfId="15" applyNumberFormat="1" applyFont="1" applyFill="1" applyBorder="1" applyAlignment="1"/>
    <xf numFmtId="6" fontId="12" fillId="4" borderId="31" xfId="15" applyNumberFormat="1" applyFont="1" applyFill="1" applyBorder="1" applyAlignment="1">
      <alignment horizontal="right"/>
    </xf>
    <xf numFmtId="6" fontId="12" fillId="5" borderId="31" xfId="15" applyNumberFormat="1" applyFont="1" applyFill="1" applyBorder="1" applyAlignment="1">
      <alignment horizontal="right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0" fontId="0" fillId="0" borderId="0" xfId="10" applyNumberFormat="1" applyFont="1" applyAlignment="1">
      <alignment vertical="center"/>
    </xf>
    <xf numFmtId="168" fontId="0" fillId="0" borderId="0" xfId="10" applyNumberFormat="1" applyFont="1" applyAlignment="1">
      <alignment vertical="center"/>
    </xf>
    <xf numFmtId="6" fontId="0" fillId="0" borderId="0" xfId="10" applyNumberFormat="1" applyFont="1" applyAlignment="1">
      <alignment vertical="center"/>
    </xf>
    <xf numFmtId="0" fontId="0" fillId="0" borderId="0" xfId="0" applyAlignment="1">
      <alignment horizontal="right" vertical="center" wrapText="1" readingOrder="2"/>
    </xf>
    <xf numFmtId="0" fontId="11" fillId="4" borderId="31" xfId="15" applyFont="1" applyFill="1" applyBorder="1" applyAlignment="1">
      <alignment horizontal="center" vertical="top" wrapText="1"/>
    </xf>
    <xf numFmtId="0" fontId="11" fillId="4" borderId="31" xfId="15" applyFont="1" applyFill="1" applyBorder="1" applyAlignment="1">
      <alignment horizontal="right" vertical="top" wrapText="1"/>
    </xf>
    <xf numFmtId="0" fontId="1" fillId="0" borderId="0" xfId="15" applyAlignment="1">
      <alignment vertical="top" wrapText="1"/>
    </xf>
    <xf numFmtId="10" fontId="2" fillId="0" borderId="0" xfId="0" applyNumberFormat="1" applyFont="1" applyAlignment="1">
      <alignment vertical="center" wrapText="1"/>
    </xf>
    <xf numFmtId="0" fontId="6" fillId="0" borderId="3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center" textRotation="255" wrapText="1"/>
    </xf>
    <xf numFmtId="0" fontId="8" fillId="3" borderId="10" xfId="0" applyFont="1" applyFill="1" applyBorder="1" applyAlignment="1">
      <alignment horizontal="center" vertical="center" textRotation="255" wrapText="1"/>
    </xf>
    <xf numFmtId="0" fontId="8" fillId="3" borderId="27" xfId="0" applyFont="1" applyFill="1" applyBorder="1" applyAlignment="1">
      <alignment horizontal="center" vertical="center" textRotation="255" wrapText="1"/>
    </xf>
    <xf numFmtId="0" fontId="8" fillId="3" borderId="11" xfId="0" applyFont="1" applyFill="1" applyBorder="1" applyAlignment="1">
      <alignment horizontal="center" vertical="center" textRotation="255" wrapText="1"/>
    </xf>
    <xf numFmtId="0" fontId="6" fillId="3" borderId="7" xfId="0" applyFont="1" applyFill="1" applyBorder="1" applyAlignment="1">
      <alignment horizontal="center" vertical="center" textRotation="90"/>
    </xf>
    <xf numFmtId="0" fontId="6" fillId="3" borderId="10" xfId="0" applyFont="1" applyFill="1" applyBorder="1" applyAlignment="1">
      <alignment horizontal="center" vertical="center" textRotation="90"/>
    </xf>
    <xf numFmtId="0" fontId="6" fillId="3" borderId="11" xfId="0" applyFont="1" applyFill="1" applyBorder="1" applyAlignment="1">
      <alignment horizontal="center" vertical="center" textRotation="90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2" borderId="18" xfId="0" applyFont="1" applyFill="1" applyBorder="1" applyAlignment="1">
      <alignment horizontal="center" vertical="center" textRotation="255" wrapText="1"/>
    </xf>
    <xf numFmtId="0" fontId="8" fillId="2" borderId="19" xfId="0" applyFont="1" applyFill="1" applyBorder="1" applyAlignment="1">
      <alignment horizontal="center" vertical="center" textRotation="255"/>
    </xf>
    <xf numFmtId="0" fontId="8" fillId="2" borderId="20" xfId="0" applyFont="1" applyFill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 wrapText="1"/>
    </xf>
  </cellXfs>
  <cellStyles count="17">
    <cellStyle name="6_x0001_" xfId="1"/>
    <cellStyle name="6A" xfId="2"/>
    <cellStyle name="al (2)" xfId="3"/>
    <cellStyle name="B" xfId="4"/>
    <cellStyle name="Currency [0] _FCG032A" xfId="5"/>
    <cellStyle name="Currency [0] 4_x0007_CG306D" xfId="6"/>
    <cellStyle name="H1 (2)_FCG046A" xfId="7"/>
    <cellStyle name="MS_English" xfId="8"/>
    <cellStyle name="nal (2)_RF (2)" xfId="9"/>
    <cellStyle name="Normal" xfId="0" builtinId="0"/>
    <cellStyle name="Normal 2" xfId="14"/>
    <cellStyle name="Normal 3" xfId="15"/>
    <cellStyle name="Percent" xfId="10" builtinId="5"/>
    <cellStyle name="RF (2)" xfId="11"/>
    <cellStyle name="sh_FCG320B" xfId="12"/>
    <cellStyle name="Spelling 1033,0" xfId="13"/>
    <cellStyle name="היפר-קישור" xfId="16" builtinId="8"/>
  </cellStyles>
  <dxfs count="23"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b/>
        <i val="0"/>
        <color rgb="FF0066FF"/>
      </font>
    </dxf>
    <dxf>
      <font>
        <b/>
        <i val="0"/>
        <color theme="6" tint="-0.24994659260841701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b/>
        <i val="0"/>
        <color rgb="FF0066FF"/>
      </font>
    </dxf>
    <dxf>
      <font>
        <b/>
        <i val="0"/>
        <color theme="6" tint="-0.24994659260841701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b/>
        <i val="0"/>
        <color rgb="FF0066FF"/>
      </font>
    </dxf>
    <dxf>
      <font>
        <b/>
        <i val="0"/>
        <color theme="6" tint="-0.24994659260841701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314325</xdr:colOff>
      <xdr:row>100</xdr:row>
      <xdr:rowOff>95250</xdr:rowOff>
    </xdr:from>
    <xdr:to>
      <xdr:col>18</xdr:col>
      <xdr:colOff>66675</xdr:colOff>
      <xdr:row>105</xdr:row>
      <xdr:rowOff>123825</xdr:rowOff>
    </xdr:to>
    <xdr:sp macro="" textlink="">
      <xdr:nvSpPr>
        <xdr:cNvPr id="2" name="הסבר מלבני 1"/>
        <xdr:cNvSpPr/>
      </xdr:nvSpPr>
      <xdr:spPr>
        <a:xfrm>
          <a:off x="9976161150" y="17945100"/>
          <a:ext cx="2209800" cy="1019175"/>
        </a:xfrm>
        <a:prstGeom prst="wedgeRectCallout">
          <a:avLst>
            <a:gd name="adj1" fmla="val -62849"/>
            <a:gd name="adj2" fmla="val -2305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1" anchor="ctr"/>
        <a:lstStyle/>
        <a:p>
          <a:pPr algn="r" rtl="1"/>
          <a:r>
            <a:rPr lang="he-IL" sz="1100"/>
            <a:t>דרך</a:t>
          </a:r>
          <a:r>
            <a:rPr lang="he-IL" sz="1100" baseline="0"/>
            <a:t> אחרת להגדרת הקריטריון בסעיף 26</a:t>
          </a:r>
          <a:endParaRPr lang="he-I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66675</xdr:rowOff>
        </xdr:to>
        <xdr:sp macro="" textlink="">
          <xdr:nvSpPr>
            <xdr:cNvPr id="33793" name="Control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0</xdr:rowOff>
        </xdr:from>
        <xdr:to>
          <xdr:col>0</xdr:col>
          <xdr:colOff>914400</xdr:colOff>
          <xdr:row>51</xdr:row>
          <xdr:rowOff>66675</xdr:rowOff>
        </xdr:to>
        <xdr:sp macro="" textlink="">
          <xdr:nvSpPr>
            <xdr:cNvPr id="33794" name="Control 2" hidden="1">
              <a:extLst>
                <a:ext uri="{63B3BB69-23CF-44E3-9099-C40C66FF867C}">
                  <a14:compatExt spid="_x0000_s33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0</xdr:rowOff>
        </xdr:from>
        <xdr:to>
          <xdr:col>0</xdr:col>
          <xdr:colOff>914400</xdr:colOff>
          <xdr:row>51</xdr:row>
          <xdr:rowOff>66675</xdr:rowOff>
        </xdr:to>
        <xdr:sp macro="" textlink="">
          <xdr:nvSpPr>
            <xdr:cNvPr id="33795" name="Control 3" hidden="1">
              <a:extLst>
                <a:ext uri="{63B3BB69-23CF-44E3-9099-C40C66FF867C}">
                  <a14:compatExt spid="_x0000_s33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y%20Documents\&#1513;&#1511;&#1512;&#1493;&#1489;%20&#1502;&#1504;&#1513;&#1492;%20&#1493;&#1490;'&#1504;&#1497;\&#1492;&#1513;&#1499;&#1512;&#1492;\_&#1513;&#1493;&#1499;&#1512;&#1497;&#1501;%20&#1513;&#1506;&#1494;&#1489;&#1493;\&#1504;&#1495;&#1502;&#1497;&#1492;%20&#1496;&#1489;&#1497;&#1489;\&#1496;&#1489;&#1497;&#14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נזקים והפסדים בגין עזיבה"/>
      <sheetName val="נזקים והפסדים בגין עזיבה ממוין"/>
      <sheetName val="בדיקת תקינות בעזיבה"/>
      <sheetName val="תחשיבים כולל שינויים בחוזה"/>
      <sheetName val="תחשיבים לפי חוזה מקורי"/>
      <sheetName val="נתוני עזר"/>
      <sheetName val="מצב חובות ובטחונות"/>
      <sheetName val="מדד המחירים לצרכן - חילן"/>
      <sheetName val="שערי מטח בנק ישרא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B2">
            <v>6000</v>
          </cell>
        </row>
      </sheetData>
      <sheetData sheetId="6" refreshError="1"/>
      <sheetData sheetId="7"/>
      <sheetData sheetId="8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hyperlink" Target="http://www2.ksh.co.il/Pages/FastSearchforPolisot.aspx" TargetMode="External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1"/>
  <sheetViews>
    <sheetView rightToLeft="1" tabSelected="1" zoomScaleNormal="100" workbookViewId="0">
      <pane xSplit="1" ySplit="3" topLeftCell="B4" activePane="bottomRight" state="frozen"/>
      <selection sqref="A1:B1"/>
      <selection pane="topRight" sqref="A1:B1"/>
      <selection pane="bottomLeft" sqref="A1:B1"/>
      <selection pane="bottomRight" activeCell="B4" sqref="B4"/>
    </sheetView>
  </sheetViews>
  <sheetFormatPr defaultRowHeight="12.75"/>
  <cols>
    <col min="1" max="1" width="4.7109375" customWidth="1"/>
    <col min="2" max="2" width="14.7109375" bestFit="1" customWidth="1"/>
    <col min="3" max="3" width="8.42578125" bestFit="1" customWidth="1"/>
    <col min="4" max="4" width="6.5703125" bestFit="1" customWidth="1"/>
    <col min="5" max="5" width="8.5703125" bestFit="1" customWidth="1"/>
    <col min="6" max="6" width="8.42578125" bestFit="1" customWidth="1"/>
    <col min="7" max="7" width="8.140625" bestFit="1" customWidth="1"/>
    <col min="8" max="10" width="6.5703125" customWidth="1"/>
    <col min="11" max="11" width="8" bestFit="1" customWidth="1"/>
    <col min="12" max="13" width="6.5703125" style="1" bestFit="1" customWidth="1"/>
    <col min="14" max="14" width="7.7109375" bestFit="1" customWidth="1"/>
    <col min="15" max="15" width="6.28515625" bestFit="1" customWidth="1"/>
    <col min="16" max="16" width="8" bestFit="1" customWidth="1"/>
    <col min="17" max="17" width="7.85546875" bestFit="1" customWidth="1"/>
    <col min="18" max="18" width="7" bestFit="1" customWidth="1"/>
  </cols>
  <sheetData>
    <row r="1" spans="1:23" ht="30.75">
      <c r="A1" s="102" t="s">
        <v>45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23" ht="13.5" thickBot="1"/>
    <row r="3" spans="1:23" s="4" customFormat="1" ht="37.5" customHeight="1" thickTop="1" thickBot="1">
      <c r="A3" s="103" t="s">
        <v>46</v>
      </c>
      <c r="B3" s="29" t="s">
        <v>41</v>
      </c>
      <c r="C3" s="28" t="s">
        <v>1</v>
      </c>
      <c r="D3" s="28" t="s">
        <v>8</v>
      </c>
      <c r="E3" s="28" t="s">
        <v>51</v>
      </c>
      <c r="F3" s="28" t="s">
        <v>50</v>
      </c>
      <c r="G3" s="28" t="s">
        <v>54</v>
      </c>
      <c r="H3" s="28" t="s">
        <v>9</v>
      </c>
      <c r="I3" s="28" t="s">
        <v>10</v>
      </c>
      <c r="J3" s="28" t="s">
        <v>11</v>
      </c>
      <c r="K3" s="28" t="s">
        <v>12</v>
      </c>
      <c r="L3" s="28" t="s">
        <v>13</v>
      </c>
      <c r="M3" s="28" t="s">
        <v>14</v>
      </c>
      <c r="N3" s="28" t="s">
        <v>15</v>
      </c>
      <c r="O3" s="28" t="s">
        <v>16</v>
      </c>
      <c r="P3" s="28" t="s">
        <v>39</v>
      </c>
      <c r="Q3" s="41" t="s">
        <v>40</v>
      </c>
      <c r="R3" s="57" t="s">
        <v>59</v>
      </c>
      <c r="T3" s="91" t="s">
        <v>66</v>
      </c>
      <c r="U3" s="92"/>
      <c r="V3" s="92"/>
      <c r="W3" s="92"/>
    </row>
    <row r="4" spans="1:23">
      <c r="A4" s="104"/>
      <c r="B4" s="30">
        <v>123456789</v>
      </c>
      <c r="C4" s="9" t="s">
        <v>2</v>
      </c>
      <c r="D4" s="9" t="s">
        <v>17</v>
      </c>
      <c r="E4" s="11">
        <v>9877665</v>
      </c>
      <c r="F4" s="14">
        <v>123</v>
      </c>
      <c r="G4" s="38" t="s">
        <v>55</v>
      </c>
      <c r="H4" s="9">
        <v>89</v>
      </c>
      <c r="I4" s="9">
        <v>86</v>
      </c>
      <c r="J4" s="9">
        <v>99</v>
      </c>
      <c r="K4" s="17">
        <f t="shared" ref="K4:K13" si="0">AVERAGE(H4:J4)</f>
        <v>91.333333333333329</v>
      </c>
      <c r="L4" s="9">
        <v>99</v>
      </c>
      <c r="M4" s="9">
        <v>80</v>
      </c>
      <c r="N4" s="20">
        <f t="shared" ref="N4:N13" si="1">ROUND(H4*$C$32+I4*$C$33+J4*$C$34+L4*$C$35+M4*$C$36,0)</f>
        <v>89</v>
      </c>
      <c r="O4" s="9" t="str">
        <f t="shared" ref="O4:O13" si="2">IF(N4&lt;$C$41,$B$40,IF(N4&lt;$C$42,$B$41,$B$42))</f>
        <v>מצטיין</v>
      </c>
      <c r="P4" s="9" t="str">
        <f t="shared" ref="P4:P13" si="3">IF(AND(D4=$C$46,O4=$B$42),"מלגה","")</f>
        <v/>
      </c>
      <c r="Q4" s="42" t="str">
        <f t="shared" ref="Q4:Q13" si="4">IF(OR(D4=$C$46,O4=$B$42),"מלגה","")</f>
        <v>מלגה</v>
      </c>
      <c r="R4" s="10" t="str">
        <f t="shared" ref="R4:R13" si="5">IF(NOT(N4&lt;$C$41),"מלגה","")</f>
        <v>מלגה</v>
      </c>
    </row>
    <row r="5" spans="1:23">
      <c r="A5" s="104"/>
      <c r="B5" s="31">
        <v>193878400</v>
      </c>
      <c r="C5" s="5" t="s">
        <v>3</v>
      </c>
      <c r="D5" s="5" t="s">
        <v>18</v>
      </c>
      <c r="E5" s="12">
        <v>9876544</v>
      </c>
      <c r="F5" s="15">
        <v>70000</v>
      </c>
      <c r="G5" s="39" t="s">
        <v>55</v>
      </c>
      <c r="H5" s="5">
        <v>81</v>
      </c>
      <c r="I5" s="5">
        <v>80</v>
      </c>
      <c r="J5" s="5">
        <v>82</v>
      </c>
      <c r="K5" s="18">
        <f t="shared" si="0"/>
        <v>81</v>
      </c>
      <c r="L5" s="5">
        <v>81</v>
      </c>
      <c r="M5" s="5">
        <v>81</v>
      </c>
      <c r="N5" s="21">
        <f t="shared" si="1"/>
        <v>81</v>
      </c>
      <c r="O5" s="5" t="str">
        <f t="shared" si="2"/>
        <v>עובר</v>
      </c>
      <c r="P5" s="5" t="str">
        <f t="shared" si="3"/>
        <v/>
      </c>
      <c r="Q5" s="43" t="str">
        <f t="shared" si="4"/>
        <v>מלגה</v>
      </c>
      <c r="R5" s="6" t="str">
        <f t="shared" si="5"/>
        <v>מלגה</v>
      </c>
    </row>
    <row r="6" spans="1:23">
      <c r="A6" s="104"/>
      <c r="B6" s="31">
        <v>244576280</v>
      </c>
      <c r="C6" s="5" t="s">
        <v>19</v>
      </c>
      <c r="D6" s="5" t="s">
        <v>18</v>
      </c>
      <c r="E6" s="12">
        <v>3252524</v>
      </c>
      <c r="F6" s="15">
        <v>44451</v>
      </c>
      <c r="G6" s="39" t="s">
        <v>0</v>
      </c>
      <c r="H6" s="5">
        <v>94</v>
      </c>
      <c r="I6" s="5">
        <v>100</v>
      </c>
      <c r="J6" s="5">
        <v>93</v>
      </c>
      <c r="K6" s="18">
        <f t="shared" si="0"/>
        <v>95.666666666666671</v>
      </c>
      <c r="L6" s="5">
        <v>95</v>
      </c>
      <c r="M6" s="5">
        <v>100</v>
      </c>
      <c r="N6" s="21">
        <f t="shared" si="1"/>
        <v>97</v>
      </c>
      <c r="O6" s="5" t="str">
        <f t="shared" si="2"/>
        <v>מצטיין</v>
      </c>
      <c r="P6" s="5" t="str">
        <f t="shared" si="3"/>
        <v>מלגה</v>
      </c>
      <c r="Q6" s="43" t="str">
        <f t="shared" si="4"/>
        <v>מלגה</v>
      </c>
      <c r="R6" s="6" t="str">
        <f t="shared" si="5"/>
        <v>מלגה</v>
      </c>
    </row>
    <row r="7" spans="1:23">
      <c r="A7" s="104"/>
      <c r="B7" s="31">
        <v>298754355</v>
      </c>
      <c r="C7" s="5" t="s">
        <v>6</v>
      </c>
      <c r="D7" s="5" t="s">
        <v>17</v>
      </c>
      <c r="E7" s="12">
        <v>8763456</v>
      </c>
      <c r="F7" s="15">
        <v>83934</v>
      </c>
      <c r="G7" s="39" t="s">
        <v>0</v>
      </c>
      <c r="H7" s="5">
        <v>88</v>
      </c>
      <c r="I7" s="5">
        <v>90</v>
      </c>
      <c r="J7" s="5">
        <v>74</v>
      </c>
      <c r="K7" s="18">
        <f t="shared" si="0"/>
        <v>84</v>
      </c>
      <c r="L7" s="5">
        <v>55</v>
      </c>
      <c r="M7" s="5">
        <v>45</v>
      </c>
      <c r="N7" s="21">
        <f t="shared" si="1"/>
        <v>60</v>
      </c>
      <c r="O7" s="5" t="str">
        <f t="shared" si="2"/>
        <v>עובר</v>
      </c>
      <c r="P7" s="5" t="str">
        <f t="shared" si="3"/>
        <v/>
      </c>
      <c r="Q7" s="43" t="str">
        <f t="shared" si="4"/>
        <v/>
      </c>
      <c r="R7" s="6" t="str">
        <f t="shared" si="5"/>
        <v>מלגה</v>
      </c>
    </row>
    <row r="8" spans="1:23">
      <c r="A8" s="104"/>
      <c r="B8" s="31">
        <v>388923057</v>
      </c>
      <c r="C8" s="5" t="s">
        <v>5</v>
      </c>
      <c r="D8" s="5" t="s">
        <v>18</v>
      </c>
      <c r="E8" s="12">
        <v>8743644</v>
      </c>
      <c r="F8" s="15">
        <v>44141</v>
      </c>
      <c r="G8" s="39" t="s">
        <v>0</v>
      </c>
      <c r="H8" s="5">
        <v>60</v>
      </c>
      <c r="I8" s="5">
        <v>100</v>
      </c>
      <c r="J8" s="5">
        <v>80</v>
      </c>
      <c r="K8" s="18">
        <f t="shared" si="0"/>
        <v>80</v>
      </c>
      <c r="L8" s="5">
        <v>40</v>
      </c>
      <c r="M8" s="5">
        <v>61</v>
      </c>
      <c r="N8" s="21">
        <f t="shared" si="1"/>
        <v>60</v>
      </c>
      <c r="O8" s="5" t="str">
        <f t="shared" si="2"/>
        <v>עובר</v>
      </c>
      <c r="P8" s="5" t="str">
        <f t="shared" si="3"/>
        <v/>
      </c>
      <c r="Q8" s="43" t="str">
        <f t="shared" si="4"/>
        <v>מלגה</v>
      </c>
      <c r="R8" s="6" t="str">
        <f t="shared" si="5"/>
        <v>מלגה</v>
      </c>
    </row>
    <row r="9" spans="1:23">
      <c r="A9" s="104"/>
      <c r="B9" s="31">
        <v>658370843</v>
      </c>
      <c r="C9" s="5" t="s">
        <v>4</v>
      </c>
      <c r="D9" s="5" t="s">
        <v>18</v>
      </c>
      <c r="E9" s="12">
        <v>2118758</v>
      </c>
      <c r="F9" s="15">
        <v>55326</v>
      </c>
      <c r="G9" s="39" t="s">
        <v>55</v>
      </c>
      <c r="H9" s="5">
        <v>67</v>
      </c>
      <c r="I9" s="5">
        <v>99</v>
      </c>
      <c r="J9" s="5">
        <v>69</v>
      </c>
      <c r="K9" s="18">
        <f t="shared" si="0"/>
        <v>78.333333333333329</v>
      </c>
      <c r="L9" s="5">
        <v>90</v>
      </c>
      <c r="M9" s="5">
        <v>85</v>
      </c>
      <c r="N9" s="21">
        <f t="shared" si="1"/>
        <v>85</v>
      </c>
      <c r="O9" s="5" t="str">
        <f t="shared" si="2"/>
        <v>מצטיין</v>
      </c>
      <c r="P9" s="5" t="str">
        <f t="shared" si="3"/>
        <v>מלגה</v>
      </c>
      <c r="Q9" s="43" t="str">
        <f t="shared" si="4"/>
        <v>מלגה</v>
      </c>
      <c r="R9" s="6" t="str">
        <f t="shared" si="5"/>
        <v>מלגה</v>
      </c>
    </row>
    <row r="10" spans="1:23">
      <c r="A10" s="104"/>
      <c r="B10" s="31">
        <v>830998987</v>
      </c>
      <c r="C10" s="5" t="s">
        <v>5</v>
      </c>
      <c r="D10" s="5" t="s">
        <v>18</v>
      </c>
      <c r="E10" s="12">
        <v>3527439</v>
      </c>
      <c r="F10" s="15">
        <v>56324</v>
      </c>
      <c r="G10" s="39" t="s">
        <v>55</v>
      </c>
      <c r="H10" s="5">
        <v>80</v>
      </c>
      <c r="I10" s="5"/>
      <c r="J10" s="5">
        <v>87</v>
      </c>
      <c r="K10" s="18">
        <f t="shared" si="0"/>
        <v>83.5</v>
      </c>
      <c r="L10" s="5">
        <v>90</v>
      </c>
      <c r="M10" s="5"/>
      <c r="N10" s="21">
        <f t="shared" si="1"/>
        <v>44</v>
      </c>
      <c r="O10" s="5" t="str">
        <f t="shared" si="2"/>
        <v>נכשל</v>
      </c>
      <c r="P10" s="5" t="str">
        <f t="shared" si="3"/>
        <v/>
      </c>
      <c r="Q10" s="43" t="str">
        <f t="shared" si="4"/>
        <v>מלגה</v>
      </c>
      <c r="R10" s="6" t="str">
        <f t="shared" si="5"/>
        <v/>
      </c>
    </row>
    <row r="11" spans="1:23">
      <c r="A11" s="104"/>
      <c r="B11" s="31">
        <v>947465892</v>
      </c>
      <c r="C11" s="5" t="s">
        <v>19</v>
      </c>
      <c r="D11" s="5" t="s">
        <v>17</v>
      </c>
      <c r="E11" s="12">
        <v>3434324</v>
      </c>
      <c r="F11" s="15">
        <v>41466</v>
      </c>
      <c r="G11" s="39" t="s">
        <v>0</v>
      </c>
      <c r="H11" s="5"/>
      <c r="I11" s="5">
        <v>79</v>
      </c>
      <c r="J11" s="5">
        <v>99</v>
      </c>
      <c r="K11" s="18">
        <f t="shared" si="0"/>
        <v>89</v>
      </c>
      <c r="L11" s="5">
        <v>86</v>
      </c>
      <c r="M11" s="5">
        <v>65</v>
      </c>
      <c r="N11" s="21">
        <f t="shared" si="1"/>
        <v>70</v>
      </c>
      <c r="O11" s="5" t="str">
        <f t="shared" si="2"/>
        <v>עובר</v>
      </c>
      <c r="P11" s="5" t="str">
        <f t="shared" si="3"/>
        <v/>
      </c>
      <c r="Q11" s="43" t="str">
        <f t="shared" si="4"/>
        <v/>
      </c>
      <c r="R11" s="6" t="str">
        <f t="shared" si="5"/>
        <v>מלגה</v>
      </c>
    </row>
    <row r="12" spans="1:23">
      <c r="A12" s="104"/>
      <c r="B12" s="31">
        <v>983687692</v>
      </c>
      <c r="C12" s="5" t="s">
        <v>7</v>
      </c>
      <c r="D12" s="5" t="s">
        <v>18</v>
      </c>
      <c r="E12" s="12">
        <v>6347234</v>
      </c>
      <c r="F12" s="15">
        <v>55235</v>
      </c>
      <c r="G12" s="39" t="s">
        <v>0</v>
      </c>
      <c r="H12" s="5">
        <v>45</v>
      </c>
      <c r="I12" s="5">
        <v>60</v>
      </c>
      <c r="J12" s="5"/>
      <c r="K12" s="18">
        <f t="shared" si="0"/>
        <v>52.5</v>
      </c>
      <c r="L12" s="5">
        <v>99</v>
      </c>
      <c r="M12" s="5">
        <v>94</v>
      </c>
      <c r="N12" s="21">
        <f t="shared" si="1"/>
        <v>78</v>
      </c>
      <c r="O12" s="5" t="str">
        <f t="shared" si="2"/>
        <v>עובר</v>
      </c>
      <c r="P12" s="5" t="str">
        <f t="shared" si="3"/>
        <v/>
      </c>
      <c r="Q12" s="43" t="str">
        <f t="shared" si="4"/>
        <v>מלגה</v>
      </c>
      <c r="R12" s="6" t="str">
        <f t="shared" si="5"/>
        <v>מלגה</v>
      </c>
    </row>
    <row r="13" spans="1:23" ht="13.5" thickBot="1">
      <c r="A13" s="105"/>
      <c r="B13" s="32">
        <v>987654321</v>
      </c>
      <c r="C13" s="7" t="s">
        <v>42</v>
      </c>
      <c r="D13" s="7" t="s">
        <v>17</v>
      </c>
      <c r="E13" s="13">
        <v>7563094</v>
      </c>
      <c r="F13" s="16">
        <v>86534</v>
      </c>
      <c r="G13" s="40" t="s">
        <v>55</v>
      </c>
      <c r="H13" s="7">
        <v>91</v>
      </c>
      <c r="I13" s="7">
        <v>79</v>
      </c>
      <c r="J13" s="7">
        <v>85</v>
      </c>
      <c r="K13" s="19">
        <f t="shared" si="0"/>
        <v>85</v>
      </c>
      <c r="L13" s="7">
        <v>100</v>
      </c>
      <c r="M13" s="7">
        <v>50</v>
      </c>
      <c r="N13" s="22">
        <f t="shared" si="1"/>
        <v>76</v>
      </c>
      <c r="O13" s="7" t="str">
        <f t="shared" si="2"/>
        <v>עובר</v>
      </c>
      <c r="P13" s="7" t="str">
        <f t="shared" si="3"/>
        <v/>
      </c>
      <c r="Q13" s="44" t="str">
        <f t="shared" si="4"/>
        <v/>
      </c>
      <c r="R13" s="8" t="str">
        <f t="shared" si="5"/>
        <v>מלגה</v>
      </c>
    </row>
    <row r="14" spans="1:23" ht="14.25" thickTop="1" thickBot="1">
      <c r="L14"/>
      <c r="M14"/>
    </row>
    <row r="15" spans="1:23" ht="12.75" customHeight="1" thickTop="1">
      <c r="A15" s="93" t="s">
        <v>47</v>
      </c>
      <c r="B15" s="23" t="s">
        <v>20</v>
      </c>
      <c r="C15" s="23"/>
      <c r="D15" s="23"/>
      <c r="E15" s="23"/>
      <c r="F15" s="23"/>
      <c r="G15" s="23"/>
      <c r="H15" s="33">
        <f>AVERAGE(H4:H13)</f>
        <v>77.222222222222229</v>
      </c>
      <c r="I15" s="33">
        <f t="shared" ref="I15:N15" si="6">AVERAGE(I4:I13)</f>
        <v>85.888888888888886</v>
      </c>
      <c r="J15" s="33">
        <f t="shared" si="6"/>
        <v>85.333333333333329</v>
      </c>
      <c r="K15" s="33">
        <f t="shared" si="6"/>
        <v>82.033333333333331</v>
      </c>
      <c r="L15" s="33">
        <f t="shared" si="6"/>
        <v>83.5</v>
      </c>
      <c r="M15" s="33">
        <f t="shared" si="6"/>
        <v>73.444444444444443</v>
      </c>
      <c r="N15" s="34">
        <f t="shared" si="6"/>
        <v>74</v>
      </c>
    </row>
    <row r="16" spans="1:23">
      <c r="A16" s="94"/>
      <c r="B16" s="5" t="s">
        <v>21</v>
      </c>
      <c r="C16" s="5"/>
      <c r="D16" s="5"/>
      <c r="E16" s="5"/>
      <c r="F16" s="5"/>
      <c r="G16" s="5"/>
      <c r="H16" s="18">
        <f>MEDIAN(H4:H13)</f>
        <v>81</v>
      </c>
      <c r="I16" s="18">
        <f t="shared" ref="I16:N16" si="7">MEDIAN(I4:I13)</f>
        <v>86</v>
      </c>
      <c r="J16" s="18">
        <f t="shared" si="7"/>
        <v>85</v>
      </c>
      <c r="K16" s="18">
        <f t="shared" si="7"/>
        <v>83.75</v>
      </c>
      <c r="L16" s="18">
        <f t="shared" si="7"/>
        <v>90</v>
      </c>
      <c r="M16" s="18">
        <f t="shared" si="7"/>
        <v>80</v>
      </c>
      <c r="N16" s="26">
        <f t="shared" si="7"/>
        <v>77</v>
      </c>
    </row>
    <row r="17" spans="1:14">
      <c r="A17" s="94"/>
      <c r="B17" s="5" t="s">
        <v>22</v>
      </c>
      <c r="C17" s="5"/>
      <c r="D17" s="5"/>
      <c r="E17" s="5"/>
      <c r="F17" s="5"/>
      <c r="G17" s="5"/>
      <c r="H17" s="18" t="e">
        <f>MODE(H4:H13)</f>
        <v>#N/A</v>
      </c>
      <c r="I17" s="18">
        <f t="shared" ref="I17:N17" si="8">MODE(I4:I13)</f>
        <v>100</v>
      </c>
      <c r="J17" s="18">
        <f t="shared" si="8"/>
        <v>99</v>
      </c>
      <c r="K17" s="18" t="e">
        <f t="shared" si="8"/>
        <v>#N/A</v>
      </c>
      <c r="L17" s="18">
        <f t="shared" si="8"/>
        <v>99</v>
      </c>
      <c r="M17" s="18" t="e">
        <f t="shared" si="8"/>
        <v>#N/A</v>
      </c>
      <c r="N17" s="26">
        <f t="shared" si="8"/>
        <v>60</v>
      </c>
    </row>
    <row r="18" spans="1:14">
      <c r="A18" s="94"/>
      <c r="B18" s="5" t="s">
        <v>23</v>
      </c>
      <c r="C18" s="5"/>
      <c r="D18" s="5"/>
      <c r="E18" s="5"/>
      <c r="F18" s="5"/>
      <c r="G18" s="5"/>
      <c r="H18" s="18">
        <f>MAX(H4:H13)</f>
        <v>94</v>
      </c>
      <c r="I18" s="18">
        <f t="shared" ref="I18:N18" si="9">MAX(I4:I13)</f>
        <v>100</v>
      </c>
      <c r="J18" s="18">
        <f t="shared" si="9"/>
        <v>99</v>
      </c>
      <c r="K18" s="18">
        <f t="shared" si="9"/>
        <v>95.666666666666671</v>
      </c>
      <c r="L18" s="18">
        <f t="shared" si="9"/>
        <v>100</v>
      </c>
      <c r="M18" s="18">
        <f t="shared" si="9"/>
        <v>100</v>
      </c>
      <c r="N18" s="26">
        <f t="shared" si="9"/>
        <v>97</v>
      </c>
    </row>
    <row r="19" spans="1:14">
      <c r="A19" s="94"/>
      <c r="B19" s="5" t="s">
        <v>24</v>
      </c>
      <c r="C19" s="5"/>
      <c r="D19" s="5"/>
      <c r="E19" s="5"/>
      <c r="F19" s="5"/>
      <c r="G19" s="5"/>
      <c r="H19" s="18">
        <f>MIN(H4:H13)</f>
        <v>45</v>
      </c>
      <c r="I19" s="18">
        <f t="shared" ref="I19:N19" si="10">MIN(I4:I13)</f>
        <v>60</v>
      </c>
      <c r="J19" s="18">
        <f t="shared" si="10"/>
        <v>69</v>
      </c>
      <c r="K19" s="18">
        <f t="shared" si="10"/>
        <v>52.5</v>
      </c>
      <c r="L19" s="18">
        <f t="shared" si="10"/>
        <v>40</v>
      </c>
      <c r="M19" s="18">
        <f t="shared" si="10"/>
        <v>45</v>
      </c>
      <c r="N19" s="26">
        <f t="shared" si="10"/>
        <v>44</v>
      </c>
    </row>
    <row r="20" spans="1:14">
      <c r="A20" s="94"/>
      <c r="B20" s="5" t="s">
        <v>43</v>
      </c>
      <c r="C20" s="5"/>
      <c r="D20" s="5"/>
      <c r="E20" s="5"/>
      <c r="F20" s="5"/>
      <c r="G20" s="5"/>
      <c r="H20" s="18">
        <f>_xlfn.STDEV.P(H4:H13)</f>
        <v>15.59043708159145</v>
      </c>
      <c r="I20" s="18">
        <f t="shared" ref="I20:N20" si="11">_xlfn.STDEV.P(I4:I13)</f>
        <v>12.4136523808305</v>
      </c>
      <c r="J20" s="18">
        <f t="shared" si="11"/>
        <v>9.8319208025017506</v>
      </c>
      <c r="K20" s="18">
        <f t="shared" si="11"/>
        <v>11.076200712438522</v>
      </c>
      <c r="L20" s="18">
        <f t="shared" si="11"/>
        <v>19.200260414900626</v>
      </c>
      <c r="M20" s="18">
        <f t="shared" si="11"/>
        <v>18.093038017186554</v>
      </c>
      <c r="N20" s="26">
        <f t="shared" si="11"/>
        <v>15.006665185843255</v>
      </c>
    </row>
    <row r="21" spans="1:14">
      <c r="A21" s="94"/>
      <c r="B21" s="5" t="s">
        <v>44</v>
      </c>
      <c r="C21" s="5"/>
      <c r="D21" s="5"/>
      <c r="E21" s="5"/>
      <c r="F21" s="5"/>
      <c r="G21" s="5"/>
      <c r="H21" s="18">
        <f>_xlfn.VAR.P(H4:H13)</f>
        <v>243.06172839506172</v>
      </c>
      <c r="I21" s="18">
        <f t="shared" ref="I21:N21" si="12">_xlfn.VAR.P(I4:I13)</f>
        <v>154.09876543209876</v>
      </c>
      <c r="J21" s="18">
        <f t="shared" si="12"/>
        <v>96.666666666666671</v>
      </c>
      <c r="K21" s="18">
        <f t="shared" si="12"/>
        <v>122.68222222222364</v>
      </c>
      <c r="L21" s="18">
        <f t="shared" si="12"/>
        <v>368.65</v>
      </c>
      <c r="M21" s="18">
        <f t="shared" si="12"/>
        <v>327.35802469135803</v>
      </c>
      <c r="N21" s="26">
        <f t="shared" si="12"/>
        <v>225.2</v>
      </c>
    </row>
    <row r="22" spans="1:14">
      <c r="A22" s="94"/>
      <c r="B22" s="5" t="s">
        <v>37</v>
      </c>
      <c r="C22" s="5"/>
      <c r="D22" s="5"/>
      <c r="E22" s="5"/>
      <c r="F22" s="5"/>
      <c r="G22" s="5"/>
      <c r="H22" s="5">
        <f>COUNT(H4:H13)</f>
        <v>9</v>
      </c>
      <c r="I22" s="5">
        <f t="shared" ref="I22:N22" si="13">COUNT(I4:I13)</f>
        <v>9</v>
      </c>
      <c r="J22" s="5">
        <f t="shared" si="13"/>
        <v>9</v>
      </c>
      <c r="K22" s="5">
        <f t="shared" si="13"/>
        <v>10</v>
      </c>
      <c r="L22" s="5">
        <f t="shared" si="13"/>
        <v>10</v>
      </c>
      <c r="M22" s="5">
        <f t="shared" si="13"/>
        <v>9</v>
      </c>
      <c r="N22" s="6">
        <f t="shared" si="13"/>
        <v>10</v>
      </c>
    </row>
    <row r="23" spans="1:14">
      <c r="A23" s="94"/>
      <c r="B23" s="5" t="s">
        <v>25</v>
      </c>
      <c r="C23" s="5"/>
      <c r="D23" s="5"/>
      <c r="E23" s="5"/>
      <c r="F23" s="5"/>
      <c r="G23" s="5"/>
      <c r="H23" s="5">
        <f>COUNTIF(H4:H13,"&lt;"&amp;$C$41)</f>
        <v>1</v>
      </c>
      <c r="I23" s="5">
        <f t="shared" ref="I23:N23" si="14">COUNTIF(I4:I13,"&lt;"&amp;$C$41)</f>
        <v>0</v>
      </c>
      <c r="J23" s="5">
        <f t="shared" si="14"/>
        <v>0</v>
      </c>
      <c r="K23" s="5">
        <f t="shared" si="14"/>
        <v>1</v>
      </c>
      <c r="L23" s="5">
        <f t="shared" si="14"/>
        <v>2</v>
      </c>
      <c r="M23" s="5">
        <f t="shared" si="14"/>
        <v>2</v>
      </c>
      <c r="N23" s="25">
        <f t="shared" si="14"/>
        <v>1</v>
      </c>
    </row>
    <row r="24" spans="1:14">
      <c r="A24" s="94"/>
      <c r="B24" s="5" t="s">
        <v>52</v>
      </c>
      <c r="C24" s="5"/>
      <c r="D24" s="5"/>
      <c r="E24" s="5"/>
      <c r="F24" s="5"/>
      <c r="G24" s="5"/>
      <c r="H24" s="5">
        <f>COUNTIFS(H4:H13,"&gt;="&amp;$C$41,H4:H13,"&lt;"&amp;$C$42)</f>
        <v>4</v>
      </c>
      <c r="I24" s="5">
        <f t="shared" ref="I24:N24" si="15">COUNTIFS(I4:I13,"&gt;="&amp;$C$41,I4:I13,"&lt;"&amp;$C$42)</f>
        <v>4</v>
      </c>
      <c r="J24" s="5">
        <f t="shared" si="15"/>
        <v>4</v>
      </c>
      <c r="K24" s="5">
        <f t="shared" si="15"/>
        <v>5</v>
      </c>
      <c r="L24" s="5">
        <f t="shared" si="15"/>
        <v>1</v>
      </c>
      <c r="M24" s="5">
        <f t="shared" si="15"/>
        <v>4</v>
      </c>
      <c r="N24" s="25">
        <f t="shared" si="15"/>
        <v>6</v>
      </c>
    </row>
    <row r="25" spans="1:14">
      <c r="A25" s="94"/>
      <c r="B25" s="5" t="s">
        <v>53</v>
      </c>
      <c r="C25" s="5"/>
      <c r="D25" s="5"/>
      <c r="E25" s="5"/>
      <c r="F25" s="5"/>
      <c r="G25" s="5"/>
      <c r="H25" s="5">
        <f>COUNTIF(H4:H13,E42)</f>
        <v>4</v>
      </c>
      <c r="I25" s="5">
        <f t="shared" ref="I25:N25" si="16">COUNTIF(I4:I13,"&gt;="&amp;$C$42)</f>
        <v>5</v>
      </c>
      <c r="J25" s="5">
        <f t="shared" si="16"/>
        <v>5</v>
      </c>
      <c r="K25" s="5">
        <f t="shared" si="16"/>
        <v>4</v>
      </c>
      <c r="L25" s="5">
        <f t="shared" si="16"/>
        <v>7</v>
      </c>
      <c r="M25" s="5">
        <f t="shared" si="16"/>
        <v>3</v>
      </c>
      <c r="N25" s="25">
        <f t="shared" si="16"/>
        <v>3</v>
      </c>
    </row>
    <row r="26" spans="1:14">
      <c r="A26" s="94"/>
      <c r="B26" s="39" t="s">
        <v>60</v>
      </c>
      <c r="C26" s="5" t="str">
        <f>B45</f>
        <v>סטודנטים</v>
      </c>
      <c r="D26" s="5"/>
      <c r="E26" s="5"/>
      <c r="F26" s="5"/>
      <c r="G26" s="5"/>
      <c r="H26" s="5">
        <f>COUNTIFS($D$4:$D$13,$C$45,H4:H13,"&gt;="&amp;$C$42)</f>
        <v>3</v>
      </c>
      <c r="I26" s="5">
        <f t="shared" ref="I26:N26" si="17">COUNTIFS($D$4:$D$13,$C$45,I4:I13,"&gt;="&amp;$C$42)</f>
        <v>2</v>
      </c>
      <c r="J26" s="5">
        <f t="shared" si="17"/>
        <v>3</v>
      </c>
      <c r="K26" s="5">
        <f t="shared" si="17"/>
        <v>3</v>
      </c>
      <c r="L26" s="5">
        <f t="shared" si="17"/>
        <v>3</v>
      </c>
      <c r="M26" s="5">
        <f t="shared" si="17"/>
        <v>0</v>
      </c>
      <c r="N26" s="6">
        <f t="shared" si="17"/>
        <v>1</v>
      </c>
    </row>
    <row r="27" spans="1:14">
      <c r="A27" s="95"/>
      <c r="B27" s="45"/>
      <c r="C27" s="5" t="str">
        <f>B46</f>
        <v>סטודנטיות</v>
      </c>
      <c r="D27" s="45"/>
      <c r="E27" s="45"/>
      <c r="F27" s="45"/>
      <c r="G27" s="45"/>
      <c r="H27" s="45">
        <f>COUNTIFS($D$4:$D$13,$C$46,H4:H13,$E$42)</f>
        <v>1</v>
      </c>
      <c r="I27" s="45">
        <f t="shared" ref="I27:N27" si="18">COUNTIFS($D$4:$D$13,$C$46,I4:I13,$E$42)</f>
        <v>3</v>
      </c>
      <c r="J27" s="45">
        <f t="shared" si="18"/>
        <v>2</v>
      </c>
      <c r="K27" s="45">
        <f t="shared" si="18"/>
        <v>1</v>
      </c>
      <c r="L27" s="45">
        <f t="shared" si="18"/>
        <v>4</v>
      </c>
      <c r="M27" s="45">
        <f t="shared" si="18"/>
        <v>3</v>
      </c>
      <c r="N27" s="46">
        <f t="shared" si="18"/>
        <v>2</v>
      </c>
    </row>
    <row r="28" spans="1:14">
      <c r="A28" s="95"/>
      <c r="B28" s="45" t="s">
        <v>38</v>
      </c>
      <c r="C28" s="45"/>
      <c r="D28" s="45">
        <f>COUNTA(C4:C13)</f>
        <v>10</v>
      </c>
      <c r="E28" s="45"/>
      <c r="F28" s="45"/>
      <c r="G28" s="49" t="s">
        <v>63</v>
      </c>
      <c r="H28" s="50">
        <f>AVERAGEIFS(H4:H13,H4:H13,"&gt;="&amp;$C$41,H4:H13,"&lt;"&amp;$C$42)</f>
        <v>72</v>
      </c>
      <c r="I28" s="50">
        <f t="shared" ref="I28:N28" si="19">AVERAGEIFS(I4:I13,I4:I13,"&gt;="&amp;$C$41,I4:I13,"&lt;"&amp;$C$42)</f>
        <v>74.5</v>
      </c>
      <c r="J28" s="50">
        <f t="shared" si="19"/>
        <v>76.25</v>
      </c>
      <c r="K28" s="50">
        <f t="shared" si="19"/>
        <v>81.36666666666666</v>
      </c>
      <c r="L28" s="50">
        <f t="shared" si="19"/>
        <v>81</v>
      </c>
      <c r="M28" s="50">
        <f t="shared" si="19"/>
        <v>71.75</v>
      </c>
      <c r="N28" s="51">
        <f t="shared" si="19"/>
        <v>70.833333333333329</v>
      </c>
    </row>
    <row r="29" spans="1:14">
      <c r="A29" s="95"/>
      <c r="B29" s="39" t="s">
        <v>60</v>
      </c>
      <c r="C29" s="45" t="str">
        <f>B45</f>
        <v>סטודנטים</v>
      </c>
      <c r="D29" s="45">
        <f>COUNTIF(D4:D13,C45)</f>
        <v>4</v>
      </c>
      <c r="E29" s="45"/>
      <c r="F29" s="45"/>
      <c r="G29" s="48" t="s">
        <v>62</v>
      </c>
      <c r="H29" s="50">
        <f>AVERAGEIF($D$4:$D$13,$C45,H$4:H$13)</f>
        <v>89.333333333333329</v>
      </c>
      <c r="I29" s="50">
        <f t="shared" ref="I29:N29" si="20">AVERAGEIF($D$4:$D$13,$C45,I$4:I$13)</f>
        <v>83.5</v>
      </c>
      <c r="J29" s="50">
        <f t="shared" si="20"/>
        <v>89.25</v>
      </c>
      <c r="K29" s="50">
        <f t="shared" si="20"/>
        <v>87.333333333333329</v>
      </c>
      <c r="L29" s="50">
        <f t="shared" si="20"/>
        <v>85</v>
      </c>
      <c r="M29" s="50">
        <f t="shared" si="20"/>
        <v>60</v>
      </c>
      <c r="N29" s="51">
        <f t="shared" si="20"/>
        <v>73.75</v>
      </c>
    </row>
    <row r="30" spans="1:14" ht="13.5" thickBot="1">
      <c r="A30" s="96"/>
      <c r="B30" s="7"/>
      <c r="C30" s="7" t="str">
        <f>B46</f>
        <v>סטודנטיות</v>
      </c>
      <c r="D30" s="7">
        <f>COUNTIF(D4:D13,C46)</f>
        <v>6</v>
      </c>
      <c r="E30" s="7"/>
      <c r="F30" s="7"/>
      <c r="G30" s="7" t="s">
        <v>62</v>
      </c>
      <c r="H30" s="52">
        <f t="shared" ref="H30:N30" si="21">AVERAGEIF($D$4:$D$13,$C46,H$4:H$13)</f>
        <v>71.166666666666671</v>
      </c>
      <c r="I30" s="54">
        <f t="shared" si="21"/>
        <v>87.8</v>
      </c>
      <c r="J30" s="52">
        <f t="shared" si="21"/>
        <v>82.2</v>
      </c>
      <c r="K30" s="52">
        <f t="shared" si="21"/>
        <v>78.5</v>
      </c>
      <c r="L30" s="52">
        <f t="shared" si="21"/>
        <v>82.5</v>
      </c>
      <c r="M30" s="52">
        <f t="shared" si="21"/>
        <v>84.2</v>
      </c>
      <c r="N30" s="53">
        <f t="shared" si="21"/>
        <v>74.166666666666671</v>
      </c>
    </row>
    <row r="31" spans="1:14" ht="14.25" thickTop="1" thickBot="1">
      <c r="L31"/>
      <c r="M31"/>
    </row>
    <row r="32" spans="1:14" ht="13.5" thickTop="1">
      <c r="A32" s="97" t="s">
        <v>48</v>
      </c>
      <c r="B32" s="23" t="s">
        <v>26</v>
      </c>
      <c r="C32" s="35">
        <v>0.1</v>
      </c>
      <c r="L32"/>
      <c r="M32"/>
    </row>
    <row r="33" spans="1:14">
      <c r="A33" s="98"/>
      <c r="B33" s="5" t="s">
        <v>27</v>
      </c>
      <c r="C33" s="36">
        <v>0.1</v>
      </c>
      <c r="L33"/>
      <c r="M33"/>
    </row>
    <row r="34" spans="1:14">
      <c r="A34" s="98"/>
      <c r="B34" s="5" t="s">
        <v>28</v>
      </c>
      <c r="C34" s="36">
        <v>0.1</v>
      </c>
      <c r="L34"/>
      <c r="M34"/>
    </row>
    <row r="35" spans="1:14">
      <c r="A35" s="98"/>
      <c r="B35" s="5" t="s">
        <v>29</v>
      </c>
      <c r="C35" s="36">
        <v>0.3</v>
      </c>
      <c r="L35"/>
      <c r="M35"/>
    </row>
    <row r="36" spans="1:14">
      <c r="A36" s="98"/>
      <c r="B36" s="5" t="s">
        <v>30</v>
      </c>
      <c r="C36" s="36">
        <v>0.4</v>
      </c>
      <c r="L36"/>
      <c r="M36"/>
    </row>
    <row r="37" spans="1:14" ht="13.5" thickBot="1">
      <c r="A37" s="99"/>
      <c r="B37" s="7" t="s">
        <v>31</v>
      </c>
      <c r="C37" s="37">
        <f>SUM(C32:C36)</f>
        <v>1</v>
      </c>
      <c r="L37"/>
      <c r="M37"/>
    </row>
    <row r="38" spans="1:14" ht="12.75" customHeight="1" thickTop="1" thickBot="1">
      <c r="L38"/>
      <c r="M38"/>
    </row>
    <row r="39" spans="1:14" ht="13.5" thickTop="1">
      <c r="A39" s="97" t="s">
        <v>49</v>
      </c>
      <c r="B39" s="23"/>
      <c r="C39" s="23" t="s">
        <v>32</v>
      </c>
      <c r="D39" s="24" t="s">
        <v>33</v>
      </c>
      <c r="L39"/>
      <c r="M39"/>
      <c r="N39" s="1"/>
    </row>
    <row r="40" spans="1:14">
      <c r="A40" s="98"/>
      <c r="B40" s="5" t="s">
        <v>34</v>
      </c>
      <c r="C40" s="18">
        <v>0</v>
      </c>
      <c r="D40" s="26">
        <v>59.49</v>
      </c>
      <c r="E40" s="3"/>
      <c r="F40" s="3"/>
      <c r="G40" s="3"/>
      <c r="L40"/>
      <c r="M40"/>
      <c r="N40" s="2"/>
    </row>
    <row r="41" spans="1:14">
      <c r="A41" s="98"/>
      <c r="B41" s="5" t="s">
        <v>35</v>
      </c>
      <c r="C41" s="18">
        <v>59.5</v>
      </c>
      <c r="D41" s="26">
        <v>84.49</v>
      </c>
      <c r="E41" s="3"/>
      <c r="F41" s="3"/>
      <c r="G41" s="3"/>
      <c r="L41"/>
      <c r="M41"/>
      <c r="N41" s="1"/>
    </row>
    <row r="42" spans="1:14" ht="13.5" thickBot="1">
      <c r="A42" s="99"/>
      <c r="B42" s="7" t="s">
        <v>36</v>
      </c>
      <c r="C42" s="19">
        <f>84.5</f>
        <v>84.5</v>
      </c>
      <c r="D42" s="27">
        <v>100</v>
      </c>
      <c r="E42" s="47" t="s">
        <v>61</v>
      </c>
      <c r="F42" s="3"/>
      <c r="G42" s="3"/>
      <c r="L42"/>
      <c r="M42"/>
      <c r="N42" s="1"/>
    </row>
    <row r="43" spans="1:14" ht="14.25" thickTop="1" thickBot="1"/>
    <row r="44" spans="1:14" ht="13.5" thickTop="1">
      <c r="A44" s="97" t="s">
        <v>58</v>
      </c>
      <c r="B44" s="100" t="s">
        <v>8</v>
      </c>
      <c r="C44" s="101"/>
    </row>
    <row r="45" spans="1:14">
      <c r="A45" s="98"/>
      <c r="B45" s="5" t="s">
        <v>56</v>
      </c>
      <c r="C45" s="26" t="s">
        <v>17</v>
      </c>
    </row>
    <row r="46" spans="1:14" ht="13.5" thickBot="1">
      <c r="A46" s="99"/>
      <c r="B46" s="7" t="s">
        <v>57</v>
      </c>
      <c r="C46" s="27" t="s">
        <v>18</v>
      </c>
    </row>
    <row r="47" spans="1:14" ht="13.5" thickTop="1"/>
    <row r="50" spans="20:20">
      <c r="T50" s="55"/>
    </row>
    <row r="51" spans="20:20">
      <c r="T51" s="55"/>
    </row>
  </sheetData>
  <mergeCells count="8">
    <mergeCell ref="A1:R1"/>
    <mergeCell ref="A3:A13"/>
    <mergeCell ref="T3:W3"/>
    <mergeCell ref="A15:A30"/>
    <mergeCell ref="A32:A37"/>
    <mergeCell ref="A39:A42"/>
    <mergeCell ref="A44:A46"/>
    <mergeCell ref="B44:C44"/>
  </mergeCells>
  <conditionalFormatting sqref="B4:B13">
    <cfRule type="duplicateValues" dxfId="22" priority="11"/>
  </conditionalFormatting>
  <conditionalFormatting sqref="N4:N13">
    <cfRule type="iconSet" priority="8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9">
      <iconSet iconSet="3Symbols2">
        <cfvo type="percent" val="0"/>
        <cfvo type="percent" val="33"/>
        <cfvo type="percent" val="67"/>
      </iconSet>
    </cfRule>
    <cfRule type="dataBar" priority="10">
      <dataBar>
        <cfvo type="min"/>
        <cfvo type="max"/>
        <color rgb="FF008AEF"/>
      </dataBar>
    </cfRule>
  </conditionalFormatting>
  <conditionalFormatting sqref="O4:O13">
    <cfRule type="cellIs" dxfId="21" priority="5" operator="equal">
      <formula>$B$40</formula>
    </cfRule>
    <cfRule type="cellIs" dxfId="20" priority="6" operator="equal">
      <formula>$B$41</formula>
    </cfRule>
    <cfRule type="cellIs" dxfId="19" priority="7" operator="equal">
      <formula>$B$42</formula>
    </cfRule>
  </conditionalFormatting>
  <conditionalFormatting sqref="B4:R13">
    <cfRule type="expression" dxfId="18" priority="4">
      <formula>$O4=$B$40</formula>
    </cfRule>
  </conditionalFormatting>
  <conditionalFormatting sqref="B8">
    <cfRule type="duplicateValues" dxfId="17" priority="3"/>
  </conditionalFormatting>
  <conditionalFormatting sqref="B8">
    <cfRule type="expression" dxfId="16" priority="2">
      <formula>$O8=$B$40</formula>
    </cfRule>
  </conditionalFormatting>
  <conditionalFormatting sqref="R4:R13">
    <cfRule type="expression" dxfId="15" priority="1">
      <formula>$O4=$B$40</formula>
    </cfRule>
  </conditionalFormatting>
  <dataValidations count="2">
    <dataValidation type="whole" allowBlank="1" showInputMessage="1" showErrorMessage="1" sqref="H4:J13 L4:M13">
      <formula1>$C$40</formula1>
      <formula2>$D$42</formula2>
    </dataValidation>
    <dataValidation type="list" allowBlank="1" showInputMessage="1" showErrorMessage="1" errorTitle="שגיאת הקלדה" error="הערכים החוקיים הם:_x000a_ 'ז' עבור סטודנטים _x000a_ 'נ' עבור סטודנטיות" promptTitle="הזנת מגדר לסטודנטים" prompt="הקלד 'ז' עבור סטודנטים, ו- 'נ' עבור סטודנטיות" sqref="D4:D13">
      <formula1>$B$45:$B$46</formula1>
    </dataValidation>
  </dataValidations>
  <pageMargins left="0.75" right="0.75" top="1" bottom="1" header="0.5" footer="0.5"/>
  <pageSetup paperSize="9" orientation="portrait" horizontalDpi="36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1"/>
  <sheetViews>
    <sheetView rightToLeft="1" zoomScaleNormal="100" workbookViewId="0">
      <pane xSplit="1" ySplit="3" topLeftCell="B4" activePane="bottomRight" state="frozen"/>
      <selection activeCell="K32" sqref="K32"/>
      <selection pane="topRight" activeCell="K32" sqref="K32"/>
      <selection pane="bottomLeft" activeCell="K32" sqref="K32"/>
      <selection pane="bottomRight" activeCell="B4" sqref="B4"/>
    </sheetView>
  </sheetViews>
  <sheetFormatPr defaultRowHeight="12.75"/>
  <cols>
    <col min="1" max="1" width="4.7109375" customWidth="1"/>
    <col min="2" max="2" width="14.7109375" bestFit="1" customWidth="1"/>
    <col min="3" max="3" width="8.42578125" bestFit="1" customWidth="1"/>
    <col min="4" max="4" width="6.5703125" bestFit="1" customWidth="1"/>
    <col min="5" max="5" width="8.5703125" bestFit="1" customWidth="1"/>
    <col min="6" max="6" width="8.42578125" bestFit="1" customWidth="1"/>
    <col min="7" max="7" width="8.140625" bestFit="1" customWidth="1"/>
    <col min="8" max="10" width="6.5703125" customWidth="1"/>
    <col min="11" max="11" width="8" bestFit="1" customWidth="1"/>
    <col min="12" max="13" width="6.5703125" style="1" bestFit="1" customWidth="1"/>
    <col min="14" max="14" width="7.7109375" bestFit="1" customWidth="1"/>
    <col min="15" max="15" width="6.28515625" bestFit="1" customWidth="1"/>
    <col min="16" max="16" width="8" bestFit="1" customWidth="1"/>
    <col min="17" max="17" width="7.85546875" bestFit="1" customWidth="1"/>
    <col min="18" max="18" width="7" bestFit="1" customWidth="1"/>
  </cols>
  <sheetData>
    <row r="1" spans="1:23" ht="30.75">
      <c r="A1" s="102" t="s">
        <v>45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23" ht="13.5" thickBot="1"/>
    <row r="3" spans="1:23" s="4" customFormat="1" ht="37.5" customHeight="1" thickTop="1" thickBot="1">
      <c r="A3" s="103" t="s">
        <v>46</v>
      </c>
      <c r="B3" s="29" t="s">
        <v>41</v>
      </c>
      <c r="C3" s="28" t="s">
        <v>1</v>
      </c>
      <c r="D3" s="28" t="s">
        <v>8</v>
      </c>
      <c r="E3" s="28" t="s">
        <v>51</v>
      </c>
      <c r="F3" s="28" t="s">
        <v>50</v>
      </c>
      <c r="G3" s="28" t="s">
        <v>54</v>
      </c>
      <c r="H3" s="28" t="s">
        <v>9</v>
      </c>
      <c r="I3" s="28" t="s">
        <v>10</v>
      </c>
      <c r="J3" s="28" t="s">
        <v>11</v>
      </c>
      <c r="K3" s="28" t="s">
        <v>12</v>
      </c>
      <c r="L3" s="28" t="s">
        <v>13</v>
      </c>
      <c r="M3" s="28" t="s">
        <v>14</v>
      </c>
      <c r="N3" s="28" t="s">
        <v>15</v>
      </c>
      <c r="O3" s="28" t="s">
        <v>16</v>
      </c>
      <c r="P3" s="28" t="s">
        <v>39</v>
      </c>
      <c r="Q3" s="41" t="s">
        <v>40</v>
      </c>
      <c r="R3" s="57" t="s">
        <v>59</v>
      </c>
      <c r="T3" s="91" t="s">
        <v>66</v>
      </c>
      <c r="U3" s="92"/>
      <c r="V3" s="92"/>
      <c r="W3" s="92"/>
    </row>
    <row r="4" spans="1:23">
      <c r="A4" s="104"/>
      <c r="B4" s="30">
        <v>123456789</v>
      </c>
      <c r="C4" s="9" t="s">
        <v>2</v>
      </c>
      <c r="D4" s="9" t="s">
        <v>17</v>
      </c>
      <c r="E4" s="11">
        <v>9877665</v>
      </c>
      <c r="F4" s="14">
        <v>123</v>
      </c>
      <c r="G4" s="38" t="s">
        <v>55</v>
      </c>
      <c r="H4" s="9">
        <v>89</v>
      </c>
      <c r="I4" s="9">
        <v>86</v>
      </c>
      <c r="J4" s="9">
        <v>99</v>
      </c>
      <c r="K4" s="17">
        <f t="shared" ref="K4:K13" si="0">AVERAGE(H4:J4)</f>
        <v>91.333333333333329</v>
      </c>
      <c r="L4" s="9">
        <v>99</v>
      </c>
      <c r="M4" s="9">
        <v>80</v>
      </c>
      <c r="N4" s="20">
        <f t="shared" ref="N4:N13" si="1">ROUND(H4*$C$32+I4*$C$33+J4*$C$34+L4*$C$35+M4*$C$36,0)</f>
        <v>89</v>
      </c>
      <c r="O4" s="9" t="str">
        <f t="shared" ref="O4:O13" si="2">IF(N4&lt;$C$41,$B$40,IF(N4&lt;$C$42,$B$41,$B$42))</f>
        <v>מצטיין</v>
      </c>
      <c r="P4" s="9" t="str">
        <f t="shared" ref="P4:P13" si="3">IF(AND(D4=$C$46,O4=$B$42),"מלגה","")</f>
        <v/>
      </c>
      <c r="Q4" s="42" t="str">
        <f t="shared" ref="Q4:Q13" si="4">IF(OR(D4=$C$46,O4=$B$42),"מלגה","")</f>
        <v>מלגה</v>
      </c>
      <c r="R4" s="10" t="str">
        <f t="shared" ref="R4:R13" si="5">IF(NOT(N4&lt;$C$41),"מלגה","")</f>
        <v>מלגה</v>
      </c>
    </row>
    <row r="5" spans="1:23">
      <c r="A5" s="104"/>
      <c r="B5" s="31">
        <v>193878400</v>
      </c>
      <c r="C5" s="5" t="s">
        <v>3</v>
      </c>
      <c r="D5" s="5" t="s">
        <v>18</v>
      </c>
      <c r="E5" s="12">
        <v>9876544</v>
      </c>
      <c r="F5" s="15">
        <v>70000</v>
      </c>
      <c r="G5" s="39" t="s">
        <v>55</v>
      </c>
      <c r="H5" s="5">
        <v>81</v>
      </c>
      <c r="I5" s="5">
        <v>80</v>
      </c>
      <c r="J5" s="5">
        <v>82</v>
      </c>
      <c r="K5" s="18">
        <f t="shared" si="0"/>
        <v>81</v>
      </c>
      <c r="L5" s="5">
        <v>81</v>
      </c>
      <c r="M5" s="5">
        <v>81</v>
      </c>
      <c r="N5" s="21">
        <f t="shared" si="1"/>
        <v>81</v>
      </c>
      <c r="O5" s="5" t="str">
        <f t="shared" si="2"/>
        <v>עובר</v>
      </c>
      <c r="P5" s="5" t="str">
        <f t="shared" si="3"/>
        <v/>
      </c>
      <c r="Q5" s="43" t="str">
        <f t="shared" si="4"/>
        <v>מלגה</v>
      </c>
      <c r="R5" s="6" t="str">
        <f t="shared" si="5"/>
        <v>מלגה</v>
      </c>
    </row>
    <row r="6" spans="1:23">
      <c r="A6" s="104"/>
      <c r="B6" s="31">
        <v>244576280</v>
      </c>
      <c r="C6" s="5" t="s">
        <v>19</v>
      </c>
      <c r="D6" s="5" t="s">
        <v>18</v>
      </c>
      <c r="E6" s="12">
        <v>3252524</v>
      </c>
      <c r="F6" s="15">
        <v>44451</v>
      </c>
      <c r="G6" s="39" t="s">
        <v>0</v>
      </c>
      <c r="H6" s="5">
        <v>94</v>
      </c>
      <c r="I6" s="5">
        <v>100</v>
      </c>
      <c r="J6" s="5">
        <v>93</v>
      </c>
      <c r="K6" s="18">
        <f t="shared" si="0"/>
        <v>95.666666666666671</v>
      </c>
      <c r="L6" s="5">
        <v>95</v>
      </c>
      <c r="M6" s="5">
        <v>100</v>
      </c>
      <c r="N6" s="21">
        <f t="shared" si="1"/>
        <v>97</v>
      </c>
      <c r="O6" s="5" t="str">
        <f t="shared" si="2"/>
        <v>מצטיין</v>
      </c>
      <c r="P6" s="5" t="str">
        <f t="shared" si="3"/>
        <v>מלגה</v>
      </c>
      <c r="Q6" s="43" t="str">
        <f t="shared" si="4"/>
        <v>מלגה</v>
      </c>
      <c r="R6" s="6" t="str">
        <f t="shared" si="5"/>
        <v>מלגה</v>
      </c>
    </row>
    <row r="7" spans="1:23">
      <c r="A7" s="104"/>
      <c r="B7" s="31">
        <v>298754355</v>
      </c>
      <c r="C7" s="5" t="s">
        <v>6</v>
      </c>
      <c r="D7" s="5" t="s">
        <v>17</v>
      </c>
      <c r="E7" s="12">
        <v>8763456</v>
      </c>
      <c r="F7" s="15">
        <v>83934</v>
      </c>
      <c r="G7" s="39" t="s">
        <v>0</v>
      </c>
      <c r="H7" s="5">
        <v>88</v>
      </c>
      <c r="I7" s="5">
        <v>90</v>
      </c>
      <c r="J7" s="5">
        <v>74</v>
      </c>
      <c r="K7" s="18">
        <f t="shared" si="0"/>
        <v>84</v>
      </c>
      <c r="L7" s="5">
        <v>55</v>
      </c>
      <c r="M7" s="5">
        <v>45</v>
      </c>
      <c r="N7" s="21">
        <f t="shared" si="1"/>
        <v>60</v>
      </c>
      <c r="O7" s="5" t="str">
        <f t="shared" si="2"/>
        <v>עובר</v>
      </c>
      <c r="P7" s="5" t="str">
        <f t="shared" si="3"/>
        <v/>
      </c>
      <c r="Q7" s="43" t="str">
        <f t="shared" si="4"/>
        <v/>
      </c>
      <c r="R7" s="6" t="str">
        <f t="shared" si="5"/>
        <v>מלגה</v>
      </c>
    </row>
    <row r="8" spans="1:23">
      <c r="A8" s="104"/>
      <c r="B8" s="31">
        <v>388923057</v>
      </c>
      <c r="C8" s="5" t="s">
        <v>5</v>
      </c>
      <c r="D8" s="5" t="s">
        <v>18</v>
      </c>
      <c r="E8" s="12">
        <v>8743644</v>
      </c>
      <c r="F8" s="15">
        <v>44141</v>
      </c>
      <c r="G8" s="39" t="s">
        <v>0</v>
      </c>
      <c r="H8" s="5">
        <v>60</v>
      </c>
      <c r="I8" s="5">
        <v>100</v>
      </c>
      <c r="J8" s="5">
        <v>80</v>
      </c>
      <c r="K8" s="18">
        <f t="shared" si="0"/>
        <v>80</v>
      </c>
      <c r="L8" s="5">
        <v>40</v>
      </c>
      <c r="M8" s="5">
        <v>61</v>
      </c>
      <c r="N8" s="21">
        <f t="shared" si="1"/>
        <v>60</v>
      </c>
      <c r="O8" s="5" t="str">
        <f t="shared" si="2"/>
        <v>עובר</v>
      </c>
      <c r="P8" s="5" t="str">
        <f t="shared" si="3"/>
        <v/>
      </c>
      <c r="Q8" s="43" t="str">
        <f t="shared" si="4"/>
        <v>מלגה</v>
      </c>
      <c r="R8" s="6" t="str">
        <f t="shared" si="5"/>
        <v>מלגה</v>
      </c>
    </row>
    <row r="9" spans="1:23">
      <c r="A9" s="104"/>
      <c r="B9" s="31">
        <v>658370843</v>
      </c>
      <c r="C9" s="5" t="s">
        <v>4</v>
      </c>
      <c r="D9" s="5" t="s">
        <v>18</v>
      </c>
      <c r="E9" s="12">
        <v>2118758</v>
      </c>
      <c r="F9" s="15">
        <v>55326</v>
      </c>
      <c r="G9" s="39" t="s">
        <v>55</v>
      </c>
      <c r="H9" s="5">
        <v>67</v>
      </c>
      <c r="I9" s="5">
        <v>99</v>
      </c>
      <c r="J9" s="5">
        <v>69</v>
      </c>
      <c r="K9" s="18">
        <f t="shared" si="0"/>
        <v>78.333333333333329</v>
      </c>
      <c r="L9" s="5">
        <v>90</v>
      </c>
      <c r="M9" s="5">
        <v>85</v>
      </c>
      <c r="N9" s="21">
        <f t="shared" si="1"/>
        <v>85</v>
      </c>
      <c r="O9" s="5" t="str">
        <f t="shared" si="2"/>
        <v>מצטיין</v>
      </c>
      <c r="P9" s="5" t="str">
        <f t="shared" si="3"/>
        <v>מלגה</v>
      </c>
      <c r="Q9" s="43" t="str">
        <f t="shared" si="4"/>
        <v>מלגה</v>
      </c>
      <c r="R9" s="6" t="str">
        <f t="shared" si="5"/>
        <v>מלגה</v>
      </c>
    </row>
    <row r="10" spans="1:23">
      <c r="A10" s="104"/>
      <c r="B10" s="31">
        <v>830998987</v>
      </c>
      <c r="C10" s="5" t="s">
        <v>5</v>
      </c>
      <c r="D10" s="5" t="s">
        <v>18</v>
      </c>
      <c r="E10" s="12">
        <v>3527439</v>
      </c>
      <c r="F10" s="15">
        <v>56324</v>
      </c>
      <c r="G10" s="39" t="s">
        <v>55</v>
      </c>
      <c r="H10" s="5">
        <v>80</v>
      </c>
      <c r="I10" s="5"/>
      <c r="J10" s="5">
        <v>87</v>
      </c>
      <c r="K10" s="18">
        <f t="shared" si="0"/>
        <v>83.5</v>
      </c>
      <c r="L10" s="5">
        <v>90</v>
      </c>
      <c r="M10" s="5"/>
      <c r="N10" s="21">
        <f t="shared" si="1"/>
        <v>44</v>
      </c>
      <c r="O10" s="5" t="str">
        <f t="shared" si="2"/>
        <v>נכשל</v>
      </c>
      <c r="P10" s="5" t="str">
        <f t="shared" si="3"/>
        <v/>
      </c>
      <c r="Q10" s="43" t="str">
        <f t="shared" si="4"/>
        <v>מלגה</v>
      </c>
      <c r="R10" s="6" t="str">
        <f t="shared" si="5"/>
        <v/>
      </c>
    </row>
    <row r="11" spans="1:23">
      <c r="A11" s="104"/>
      <c r="B11" s="31">
        <v>947465892</v>
      </c>
      <c r="C11" s="5" t="s">
        <v>19</v>
      </c>
      <c r="D11" s="5" t="s">
        <v>17</v>
      </c>
      <c r="E11" s="12">
        <v>3434324</v>
      </c>
      <c r="F11" s="15">
        <v>41466</v>
      </c>
      <c r="G11" s="39" t="s">
        <v>0</v>
      </c>
      <c r="H11" s="5"/>
      <c r="I11" s="5">
        <v>79</v>
      </c>
      <c r="J11" s="5">
        <v>99</v>
      </c>
      <c r="K11" s="18">
        <f t="shared" si="0"/>
        <v>89</v>
      </c>
      <c r="L11" s="5">
        <v>86</v>
      </c>
      <c r="M11" s="5">
        <v>65</v>
      </c>
      <c r="N11" s="21">
        <f t="shared" si="1"/>
        <v>70</v>
      </c>
      <c r="O11" s="5" t="str">
        <f t="shared" si="2"/>
        <v>עובר</v>
      </c>
      <c r="P11" s="5" t="str">
        <f t="shared" si="3"/>
        <v/>
      </c>
      <c r="Q11" s="43" t="str">
        <f t="shared" si="4"/>
        <v/>
      </c>
      <c r="R11" s="6" t="str">
        <f t="shared" si="5"/>
        <v>מלגה</v>
      </c>
    </row>
    <row r="12" spans="1:23">
      <c r="A12" s="104"/>
      <c r="B12" s="31">
        <v>983687692</v>
      </c>
      <c r="C12" s="5" t="s">
        <v>7</v>
      </c>
      <c r="D12" s="5" t="s">
        <v>18</v>
      </c>
      <c r="E12" s="12">
        <v>6347234</v>
      </c>
      <c r="F12" s="15">
        <v>55235</v>
      </c>
      <c r="G12" s="39" t="s">
        <v>0</v>
      </c>
      <c r="H12" s="5">
        <v>45</v>
      </c>
      <c r="I12" s="5">
        <v>60</v>
      </c>
      <c r="J12" s="5"/>
      <c r="K12" s="18">
        <f t="shared" si="0"/>
        <v>52.5</v>
      </c>
      <c r="L12" s="5">
        <v>99</v>
      </c>
      <c r="M12" s="5">
        <v>94</v>
      </c>
      <c r="N12" s="21">
        <f t="shared" si="1"/>
        <v>78</v>
      </c>
      <c r="O12" s="5" t="str">
        <f t="shared" si="2"/>
        <v>עובר</v>
      </c>
      <c r="P12" s="5" t="str">
        <f t="shared" si="3"/>
        <v/>
      </c>
      <c r="Q12" s="43" t="str">
        <f t="shared" si="4"/>
        <v>מלגה</v>
      </c>
      <c r="R12" s="6" t="str">
        <f t="shared" si="5"/>
        <v>מלגה</v>
      </c>
    </row>
    <row r="13" spans="1:23" ht="13.5" thickBot="1">
      <c r="A13" s="105"/>
      <c r="B13" s="32">
        <v>987654321</v>
      </c>
      <c r="C13" s="7" t="s">
        <v>42</v>
      </c>
      <c r="D13" s="7" t="s">
        <v>17</v>
      </c>
      <c r="E13" s="13">
        <v>7563094</v>
      </c>
      <c r="F13" s="16">
        <v>86534</v>
      </c>
      <c r="G13" s="40" t="s">
        <v>55</v>
      </c>
      <c r="H13" s="7">
        <v>91</v>
      </c>
      <c r="I13" s="7">
        <v>79</v>
      </c>
      <c r="J13" s="7">
        <v>85</v>
      </c>
      <c r="K13" s="19">
        <f t="shared" si="0"/>
        <v>85</v>
      </c>
      <c r="L13" s="7">
        <v>100</v>
      </c>
      <c r="M13" s="7">
        <v>50</v>
      </c>
      <c r="N13" s="22">
        <f t="shared" si="1"/>
        <v>76</v>
      </c>
      <c r="O13" s="7" t="str">
        <f t="shared" si="2"/>
        <v>עובר</v>
      </c>
      <c r="P13" s="7" t="str">
        <f t="shared" si="3"/>
        <v/>
      </c>
      <c r="Q13" s="44" t="str">
        <f t="shared" si="4"/>
        <v/>
      </c>
      <c r="R13" s="8" t="str">
        <f t="shared" si="5"/>
        <v>מלגה</v>
      </c>
    </row>
    <row r="14" spans="1:23" ht="14.25" thickTop="1" thickBot="1">
      <c r="L14"/>
      <c r="M14"/>
    </row>
    <row r="15" spans="1:23" ht="12.75" customHeight="1" thickTop="1">
      <c r="A15" s="93" t="s">
        <v>47</v>
      </c>
      <c r="B15" s="23" t="s">
        <v>20</v>
      </c>
      <c r="C15" s="23"/>
      <c r="D15" s="23"/>
      <c r="E15" s="23"/>
      <c r="F15" s="23"/>
      <c r="G15" s="23"/>
      <c r="H15" s="33">
        <f>AVERAGE(H4:H13)</f>
        <v>77.222222222222229</v>
      </c>
      <c r="I15" s="33">
        <f t="shared" ref="I15:N15" si="6">AVERAGE(I4:I13)</f>
        <v>85.888888888888886</v>
      </c>
      <c r="J15" s="33">
        <f t="shared" si="6"/>
        <v>85.333333333333329</v>
      </c>
      <c r="K15" s="33">
        <f t="shared" si="6"/>
        <v>82.033333333333331</v>
      </c>
      <c r="L15" s="33">
        <f t="shared" si="6"/>
        <v>83.5</v>
      </c>
      <c r="M15" s="33">
        <f t="shared" si="6"/>
        <v>73.444444444444443</v>
      </c>
      <c r="N15" s="34">
        <f t="shared" si="6"/>
        <v>74</v>
      </c>
    </row>
    <row r="16" spans="1:23">
      <c r="A16" s="94"/>
      <c r="B16" s="5" t="s">
        <v>21</v>
      </c>
      <c r="C16" s="5"/>
      <c r="D16" s="5"/>
      <c r="E16" s="5"/>
      <c r="F16" s="5"/>
      <c r="G16" s="5"/>
      <c r="H16" s="18">
        <f>MEDIAN(H4:H13)</f>
        <v>81</v>
      </c>
      <c r="I16" s="18">
        <f t="shared" ref="I16:N16" si="7">MEDIAN(I4:I13)</f>
        <v>86</v>
      </c>
      <c r="J16" s="18">
        <f t="shared" si="7"/>
        <v>85</v>
      </c>
      <c r="K16" s="18">
        <f t="shared" si="7"/>
        <v>83.75</v>
      </c>
      <c r="L16" s="18">
        <f t="shared" si="7"/>
        <v>90</v>
      </c>
      <c r="M16" s="18">
        <f t="shared" si="7"/>
        <v>80</v>
      </c>
      <c r="N16" s="26">
        <f t="shared" si="7"/>
        <v>77</v>
      </c>
    </row>
    <row r="17" spans="1:14">
      <c r="A17" s="94"/>
      <c r="B17" s="5" t="s">
        <v>22</v>
      </c>
      <c r="C17" s="5"/>
      <c r="D17" s="5"/>
      <c r="E17" s="5"/>
      <c r="F17" s="5"/>
      <c r="G17" s="5"/>
      <c r="H17" s="18" t="e">
        <f>MODE(H4:H13)</f>
        <v>#N/A</v>
      </c>
      <c r="I17" s="18">
        <f t="shared" ref="I17:N17" si="8">MODE(I4:I13)</f>
        <v>100</v>
      </c>
      <c r="J17" s="18">
        <f t="shared" si="8"/>
        <v>99</v>
      </c>
      <c r="K17" s="18" t="e">
        <f t="shared" si="8"/>
        <v>#N/A</v>
      </c>
      <c r="L17" s="18">
        <f t="shared" si="8"/>
        <v>99</v>
      </c>
      <c r="M17" s="18" t="e">
        <f t="shared" si="8"/>
        <v>#N/A</v>
      </c>
      <c r="N17" s="26">
        <f t="shared" si="8"/>
        <v>60</v>
      </c>
    </row>
    <row r="18" spans="1:14">
      <c r="A18" s="94"/>
      <c r="B18" s="5" t="s">
        <v>23</v>
      </c>
      <c r="C18" s="5"/>
      <c r="D18" s="5"/>
      <c r="E18" s="5"/>
      <c r="F18" s="5"/>
      <c r="G18" s="5"/>
      <c r="H18" s="18">
        <f>MAX(H4:H13)</f>
        <v>94</v>
      </c>
      <c r="I18" s="18">
        <f t="shared" ref="I18:N18" si="9">MAX(I4:I13)</f>
        <v>100</v>
      </c>
      <c r="J18" s="18">
        <f t="shared" si="9"/>
        <v>99</v>
      </c>
      <c r="K18" s="18">
        <f t="shared" si="9"/>
        <v>95.666666666666671</v>
      </c>
      <c r="L18" s="18">
        <f t="shared" si="9"/>
        <v>100</v>
      </c>
      <c r="M18" s="18">
        <f t="shared" si="9"/>
        <v>100</v>
      </c>
      <c r="N18" s="26">
        <f t="shared" si="9"/>
        <v>97</v>
      </c>
    </row>
    <row r="19" spans="1:14">
      <c r="A19" s="94"/>
      <c r="B19" s="5" t="s">
        <v>24</v>
      </c>
      <c r="C19" s="5"/>
      <c r="D19" s="5"/>
      <c r="E19" s="5"/>
      <c r="F19" s="5"/>
      <c r="G19" s="5"/>
      <c r="H19" s="18">
        <f>MIN(H4:H13)</f>
        <v>45</v>
      </c>
      <c r="I19" s="18">
        <f t="shared" ref="I19:N19" si="10">MIN(I4:I13)</f>
        <v>60</v>
      </c>
      <c r="J19" s="18">
        <f t="shared" si="10"/>
        <v>69</v>
      </c>
      <c r="K19" s="18">
        <f t="shared" si="10"/>
        <v>52.5</v>
      </c>
      <c r="L19" s="18">
        <f t="shared" si="10"/>
        <v>40</v>
      </c>
      <c r="M19" s="18">
        <f t="shared" si="10"/>
        <v>45</v>
      </c>
      <c r="N19" s="26">
        <f t="shared" si="10"/>
        <v>44</v>
      </c>
    </row>
    <row r="20" spans="1:14">
      <c r="A20" s="94"/>
      <c r="B20" s="5" t="s">
        <v>43</v>
      </c>
      <c r="C20" s="5"/>
      <c r="D20" s="5"/>
      <c r="E20" s="5"/>
      <c r="F20" s="5"/>
      <c r="G20" s="5"/>
      <c r="H20" s="18">
        <f>_xlfn.STDEV.P(H4:H13)</f>
        <v>15.59043708159145</v>
      </c>
      <c r="I20" s="18">
        <f t="shared" ref="I20:N20" si="11">_xlfn.STDEV.P(I4:I13)</f>
        <v>12.4136523808305</v>
      </c>
      <c r="J20" s="18">
        <f t="shared" si="11"/>
        <v>9.8319208025017506</v>
      </c>
      <c r="K20" s="18">
        <f t="shared" si="11"/>
        <v>11.076200712438522</v>
      </c>
      <c r="L20" s="18">
        <f t="shared" si="11"/>
        <v>19.200260414900626</v>
      </c>
      <c r="M20" s="18">
        <f t="shared" si="11"/>
        <v>18.093038017186554</v>
      </c>
      <c r="N20" s="26">
        <f t="shared" si="11"/>
        <v>15.006665185843255</v>
      </c>
    </row>
    <row r="21" spans="1:14">
      <c r="A21" s="94"/>
      <c r="B21" s="5" t="s">
        <v>44</v>
      </c>
      <c r="C21" s="5"/>
      <c r="D21" s="5"/>
      <c r="E21" s="5"/>
      <c r="F21" s="5"/>
      <c r="G21" s="5"/>
      <c r="H21" s="18">
        <f>_xlfn.VAR.P(H4:H13)</f>
        <v>243.06172839506172</v>
      </c>
      <c r="I21" s="18">
        <f t="shared" ref="I21:N21" si="12">_xlfn.VAR.P(I4:I13)</f>
        <v>154.09876543209876</v>
      </c>
      <c r="J21" s="18">
        <f t="shared" si="12"/>
        <v>96.666666666666671</v>
      </c>
      <c r="K21" s="18">
        <f t="shared" si="12"/>
        <v>122.68222222222364</v>
      </c>
      <c r="L21" s="18">
        <f t="shared" si="12"/>
        <v>368.65</v>
      </c>
      <c r="M21" s="18">
        <f t="shared" si="12"/>
        <v>327.35802469135803</v>
      </c>
      <c r="N21" s="26">
        <f t="shared" si="12"/>
        <v>225.2</v>
      </c>
    </row>
    <row r="22" spans="1:14">
      <c r="A22" s="94"/>
      <c r="B22" s="5" t="s">
        <v>37</v>
      </c>
      <c r="C22" s="5"/>
      <c r="D22" s="5"/>
      <c r="E22" s="5"/>
      <c r="F22" s="5"/>
      <c r="G22" s="5"/>
      <c r="H22" s="5">
        <f>COUNT(H4:H13)</f>
        <v>9</v>
      </c>
      <c r="I22" s="5">
        <f t="shared" ref="I22:N22" si="13">COUNT(I4:I13)</f>
        <v>9</v>
      </c>
      <c r="J22" s="5">
        <f t="shared" si="13"/>
        <v>9</v>
      </c>
      <c r="K22" s="5">
        <f t="shared" si="13"/>
        <v>10</v>
      </c>
      <c r="L22" s="5">
        <f t="shared" si="13"/>
        <v>10</v>
      </c>
      <c r="M22" s="5">
        <f t="shared" si="13"/>
        <v>9</v>
      </c>
      <c r="N22" s="6">
        <f t="shared" si="13"/>
        <v>10</v>
      </c>
    </row>
    <row r="23" spans="1:14">
      <c r="A23" s="94"/>
      <c r="B23" s="5" t="s">
        <v>25</v>
      </c>
      <c r="C23" s="5"/>
      <c r="D23" s="5"/>
      <c r="E23" s="5"/>
      <c r="F23" s="5"/>
      <c r="G23" s="5"/>
      <c r="H23" s="5">
        <f>COUNTIF(H4:H13,"&lt;"&amp;$C$41)</f>
        <v>1</v>
      </c>
      <c r="I23" s="5">
        <f t="shared" ref="I23:N23" si="14">COUNTIF(I4:I13,"&lt;"&amp;$C$41)</f>
        <v>0</v>
      </c>
      <c r="J23" s="5">
        <f t="shared" si="14"/>
        <v>0</v>
      </c>
      <c r="K23" s="5">
        <f t="shared" si="14"/>
        <v>1</v>
      </c>
      <c r="L23" s="5">
        <f t="shared" si="14"/>
        <v>2</v>
      </c>
      <c r="M23" s="5">
        <f t="shared" si="14"/>
        <v>2</v>
      </c>
      <c r="N23" s="25">
        <f t="shared" si="14"/>
        <v>1</v>
      </c>
    </row>
    <row r="24" spans="1:14">
      <c r="A24" s="94"/>
      <c r="B24" s="5" t="s">
        <v>52</v>
      </c>
      <c r="C24" s="5"/>
      <c r="D24" s="5"/>
      <c r="E24" s="5"/>
      <c r="F24" s="5"/>
      <c r="G24" s="5"/>
      <c r="H24" s="5">
        <f>COUNTIFS(H4:H13,"&gt;="&amp;$C$41,H4:H13,"&lt;"&amp;$C$42)</f>
        <v>4</v>
      </c>
      <c r="I24" s="5">
        <f t="shared" ref="I24:N24" si="15">COUNTIFS(I4:I13,"&gt;="&amp;$C$41,I4:I13,"&lt;"&amp;$C$42)</f>
        <v>4</v>
      </c>
      <c r="J24" s="5">
        <f t="shared" si="15"/>
        <v>4</v>
      </c>
      <c r="K24" s="5">
        <f t="shared" si="15"/>
        <v>5</v>
      </c>
      <c r="L24" s="5">
        <f t="shared" si="15"/>
        <v>1</v>
      </c>
      <c r="M24" s="5">
        <f t="shared" si="15"/>
        <v>4</v>
      </c>
      <c r="N24" s="25">
        <f t="shared" si="15"/>
        <v>6</v>
      </c>
    </row>
    <row r="25" spans="1:14">
      <c r="A25" s="94"/>
      <c r="B25" s="5" t="s">
        <v>53</v>
      </c>
      <c r="C25" s="5"/>
      <c r="D25" s="5"/>
      <c r="E25" s="5"/>
      <c r="F25" s="5"/>
      <c r="G25" s="5"/>
      <c r="H25" s="5">
        <f>COUNTIF(H4:H13,E42)</f>
        <v>4</v>
      </c>
      <c r="I25" s="5">
        <f t="shared" ref="I25:N25" si="16">COUNTIF(I4:I13,"&gt;="&amp;$C$42)</f>
        <v>5</v>
      </c>
      <c r="J25" s="5">
        <f t="shared" si="16"/>
        <v>5</v>
      </c>
      <c r="K25" s="5">
        <f t="shared" si="16"/>
        <v>4</v>
      </c>
      <c r="L25" s="5">
        <f t="shared" si="16"/>
        <v>7</v>
      </c>
      <c r="M25" s="5">
        <f t="shared" si="16"/>
        <v>3</v>
      </c>
      <c r="N25" s="25">
        <f t="shared" si="16"/>
        <v>3</v>
      </c>
    </row>
    <row r="26" spans="1:14">
      <c r="A26" s="94"/>
      <c r="B26" s="39" t="s">
        <v>60</v>
      </c>
      <c r="C26" s="5" t="str">
        <f>B45</f>
        <v>סטודנטים</v>
      </c>
      <c r="D26" s="5"/>
      <c r="E26" s="5"/>
      <c r="F26" s="5"/>
      <c r="G26" s="5"/>
      <c r="H26" s="5">
        <f>COUNTIFS($D$4:$D$13,$C$45,H4:H13,"&gt;="&amp;$C$42)</f>
        <v>3</v>
      </c>
      <c r="I26" s="5">
        <f t="shared" ref="I26:N26" si="17">COUNTIFS($D$4:$D$13,$C$45,I4:I13,"&gt;="&amp;$C$42)</f>
        <v>2</v>
      </c>
      <c r="J26" s="5">
        <f t="shared" si="17"/>
        <v>3</v>
      </c>
      <c r="K26" s="5">
        <f t="shared" si="17"/>
        <v>3</v>
      </c>
      <c r="L26" s="5">
        <f t="shared" si="17"/>
        <v>3</v>
      </c>
      <c r="M26" s="5">
        <f t="shared" si="17"/>
        <v>0</v>
      </c>
      <c r="N26" s="6">
        <f t="shared" si="17"/>
        <v>1</v>
      </c>
    </row>
    <row r="27" spans="1:14">
      <c r="A27" s="95"/>
      <c r="B27" s="45"/>
      <c r="C27" s="5" t="str">
        <f>B46</f>
        <v>סטודנטיות</v>
      </c>
      <c r="D27" s="45"/>
      <c r="E27" s="45"/>
      <c r="F27" s="45"/>
      <c r="G27" s="45"/>
      <c r="H27" s="45">
        <f>COUNTIFS($D$4:$D$13,$C$46,H4:H13,$E$42)</f>
        <v>1</v>
      </c>
      <c r="I27" s="45">
        <f t="shared" ref="I27:N27" si="18">COUNTIFS($D$4:$D$13,$C$46,I4:I13,$E$42)</f>
        <v>3</v>
      </c>
      <c r="J27" s="45">
        <f t="shared" si="18"/>
        <v>2</v>
      </c>
      <c r="K27" s="45">
        <f t="shared" si="18"/>
        <v>1</v>
      </c>
      <c r="L27" s="45">
        <f t="shared" si="18"/>
        <v>4</v>
      </c>
      <c r="M27" s="45">
        <f t="shared" si="18"/>
        <v>3</v>
      </c>
      <c r="N27" s="46">
        <f t="shared" si="18"/>
        <v>2</v>
      </c>
    </row>
    <row r="28" spans="1:14">
      <c r="A28" s="95"/>
      <c r="B28" s="45" t="s">
        <v>38</v>
      </c>
      <c r="C28" s="45"/>
      <c r="D28" s="45">
        <f>COUNTA(C4:C13)</f>
        <v>10</v>
      </c>
      <c r="E28" s="45"/>
      <c r="F28" s="45"/>
      <c r="G28" s="49" t="s">
        <v>63</v>
      </c>
      <c r="H28" s="50">
        <f>AVERAGEIFS(H4:H13,H4:H13,"&gt;="&amp;$C$41,H4:H13,"&lt;"&amp;$C$42)</f>
        <v>72</v>
      </c>
      <c r="I28" s="50">
        <f t="shared" ref="I28:N28" si="19">AVERAGEIFS(I4:I13,I4:I13,"&gt;="&amp;$C$41,I4:I13,"&lt;"&amp;$C$42)</f>
        <v>74.5</v>
      </c>
      <c r="J28" s="50">
        <f t="shared" si="19"/>
        <v>76.25</v>
      </c>
      <c r="K28" s="50">
        <f t="shared" si="19"/>
        <v>81.36666666666666</v>
      </c>
      <c r="L28" s="50">
        <f t="shared" si="19"/>
        <v>81</v>
      </c>
      <c r="M28" s="50">
        <f t="shared" si="19"/>
        <v>71.75</v>
      </c>
      <c r="N28" s="51">
        <f t="shared" si="19"/>
        <v>70.833333333333329</v>
      </c>
    </row>
    <row r="29" spans="1:14">
      <c r="A29" s="95"/>
      <c r="B29" s="39" t="s">
        <v>60</v>
      </c>
      <c r="C29" s="45" t="str">
        <f>B45</f>
        <v>סטודנטים</v>
      </c>
      <c r="D29" s="45">
        <f>COUNTIF(D4:D13,C45)</f>
        <v>4</v>
      </c>
      <c r="E29" s="45"/>
      <c r="F29" s="45"/>
      <c r="G29" s="48" t="s">
        <v>62</v>
      </c>
      <c r="H29" s="50">
        <f>AVERAGEIF($D$4:$D$13,$C45,H$4:H$13)</f>
        <v>89.333333333333329</v>
      </c>
      <c r="I29" s="50">
        <f t="shared" ref="I29:N29" si="20">AVERAGEIF($D$4:$D$13,$C45,I$4:I$13)</f>
        <v>83.5</v>
      </c>
      <c r="J29" s="50">
        <f t="shared" si="20"/>
        <v>89.25</v>
      </c>
      <c r="K29" s="50">
        <f t="shared" si="20"/>
        <v>87.333333333333329</v>
      </c>
      <c r="L29" s="50">
        <f t="shared" si="20"/>
        <v>85</v>
      </c>
      <c r="M29" s="50">
        <f t="shared" si="20"/>
        <v>60</v>
      </c>
      <c r="N29" s="51">
        <f t="shared" si="20"/>
        <v>73.75</v>
      </c>
    </row>
    <row r="30" spans="1:14" ht="13.5" thickBot="1">
      <c r="A30" s="96"/>
      <c r="B30" s="7"/>
      <c r="C30" s="7" t="str">
        <f>B46</f>
        <v>סטודנטיות</v>
      </c>
      <c r="D30" s="7">
        <f>COUNTIF(D4:D13,C46)</f>
        <v>6</v>
      </c>
      <c r="E30" s="7"/>
      <c r="F30" s="7"/>
      <c r="G30" s="7" t="s">
        <v>62</v>
      </c>
      <c r="H30" s="52">
        <f t="shared" ref="H30:N30" si="21">AVERAGEIF($D$4:$D$13,$C46,H$4:H$13)</f>
        <v>71.166666666666671</v>
      </c>
      <c r="I30" s="54">
        <f t="shared" si="21"/>
        <v>87.8</v>
      </c>
      <c r="J30" s="52">
        <f t="shared" si="21"/>
        <v>82.2</v>
      </c>
      <c r="K30" s="52">
        <f t="shared" si="21"/>
        <v>78.5</v>
      </c>
      <c r="L30" s="52">
        <f t="shared" si="21"/>
        <v>82.5</v>
      </c>
      <c r="M30" s="52">
        <f t="shared" si="21"/>
        <v>84.2</v>
      </c>
      <c r="N30" s="53">
        <f t="shared" si="21"/>
        <v>74.166666666666671</v>
      </c>
    </row>
    <row r="31" spans="1:14" ht="14.25" thickTop="1" thickBot="1">
      <c r="L31"/>
      <c r="M31"/>
    </row>
    <row r="32" spans="1:14" ht="13.5" thickTop="1">
      <c r="A32" s="97" t="s">
        <v>48</v>
      </c>
      <c r="B32" s="23" t="s">
        <v>26</v>
      </c>
      <c r="C32" s="35">
        <v>0.1</v>
      </c>
      <c r="L32"/>
      <c r="M32"/>
    </row>
    <row r="33" spans="1:14">
      <c r="A33" s="98"/>
      <c r="B33" s="5" t="s">
        <v>27</v>
      </c>
      <c r="C33" s="36">
        <v>0.1</v>
      </c>
      <c r="L33"/>
      <c r="M33"/>
    </row>
    <row r="34" spans="1:14">
      <c r="A34" s="98"/>
      <c r="B34" s="5" t="s">
        <v>28</v>
      </c>
      <c r="C34" s="36">
        <v>0.1</v>
      </c>
      <c r="L34"/>
      <c r="M34"/>
    </row>
    <row r="35" spans="1:14">
      <c r="A35" s="98"/>
      <c r="B35" s="5" t="s">
        <v>29</v>
      </c>
      <c r="C35" s="36">
        <v>0.3</v>
      </c>
      <c r="L35"/>
      <c r="M35"/>
    </row>
    <row r="36" spans="1:14">
      <c r="A36" s="98"/>
      <c r="B36" s="5" t="s">
        <v>30</v>
      </c>
      <c r="C36" s="36">
        <v>0.4</v>
      </c>
      <c r="L36"/>
      <c r="M36"/>
    </row>
    <row r="37" spans="1:14" ht="13.5" thickBot="1">
      <c r="A37" s="99"/>
      <c r="B37" s="7" t="s">
        <v>31</v>
      </c>
      <c r="C37" s="37">
        <f>SUM(C32:C36)</f>
        <v>1</v>
      </c>
      <c r="L37"/>
      <c r="M37"/>
    </row>
    <row r="38" spans="1:14" ht="12.75" customHeight="1" thickTop="1" thickBot="1">
      <c r="L38"/>
      <c r="M38"/>
    </row>
    <row r="39" spans="1:14" ht="13.5" thickTop="1">
      <c r="A39" s="97" t="s">
        <v>49</v>
      </c>
      <c r="B39" s="23"/>
      <c r="C39" s="23" t="s">
        <v>32</v>
      </c>
      <c r="D39" s="24" t="s">
        <v>33</v>
      </c>
      <c r="L39"/>
      <c r="M39"/>
      <c r="N39" s="1"/>
    </row>
    <row r="40" spans="1:14">
      <c r="A40" s="98"/>
      <c r="B40" s="5" t="s">
        <v>34</v>
      </c>
      <c r="C40" s="18">
        <v>0</v>
      </c>
      <c r="D40" s="26">
        <v>59.49</v>
      </c>
      <c r="E40" s="3"/>
      <c r="F40" s="3"/>
      <c r="G40" s="3"/>
      <c r="L40"/>
      <c r="M40"/>
      <c r="N40" s="2"/>
    </row>
    <row r="41" spans="1:14">
      <c r="A41" s="98"/>
      <c r="B41" s="5" t="s">
        <v>35</v>
      </c>
      <c r="C41" s="18">
        <v>59.5</v>
      </c>
      <c r="D41" s="26">
        <v>84.49</v>
      </c>
      <c r="E41" s="3"/>
      <c r="F41" s="3"/>
      <c r="G41" s="3"/>
      <c r="L41"/>
      <c r="M41"/>
      <c r="N41" s="1"/>
    </row>
    <row r="42" spans="1:14" ht="13.5" thickBot="1">
      <c r="A42" s="99"/>
      <c r="B42" s="7" t="s">
        <v>36</v>
      </c>
      <c r="C42" s="19">
        <f>84.5</f>
        <v>84.5</v>
      </c>
      <c r="D42" s="27">
        <v>100</v>
      </c>
      <c r="E42" s="47" t="s">
        <v>61</v>
      </c>
      <c r="F42" s="3"/>
      <c r="G42" s="3"/>
      <c r="L42"/>
      <c r="M42"/>
      <c r="N42" s="1"/>
    </row>
    <row r="43" spans="1:14" ht="14.25" thickTop="1" thickBot="1"/>
    <row r="44" spans="1:14" ht="13.5" thickTop="1">
      <c r="A44" s="97" t="s">
        <v>58</v>
      </c>
      <c r="B44" s="100" t="s">
        <v>8</v>
      </c>
      <c r="C44" s="101"/>
    </row>
    <row r="45" spans="1:14">
      <c r="A45" s="98"/>
      <c r="B45" s="5" t="s">
        <v>56</v>
      </c>
      <c r="C45" s="26" t="s">
        <v>17</v>
      </c>
    </row>
    <row r="46" spans="1:14" ht="13.5" thickBot="1">
      <c r="A46" s="99"/>
      <c r="B46" s="7" t="s">
        <v>57</v>
      </c>
      <c r="C46" s="27" t="s">
        <v>18</v>
      </c>
    </row>
    <row r="47" spans="1:14" ht="13.5" thickTop="1"/>
    <row r="50" spans="20:20">
      <c r="T50" s="55"/>
    </row>
    <row r="51" spans="20:20">
      <c r="T51" s="55"/>
    </row>
  </sheetData>
  <sortState ref="B4:R13">
    <sortCondition ref="B4:B13"/>
  </sortState>
  <mergeCells count="8">
    <mergeCell ref="T3:W3"/>
    <mergeCell ref="A44:A46"/>
    <mergeCell ref="B44:C44"/>
    <mergeCell ref="A1:R1"/>
    <mergeCell ref="A3:A13"/>
    <mergeCell ref="A15:A30"/>
    <mergeCell ref="A32:A37"/>
    <mergeCell ref="A39:A42"/>
  </mergeCells>
  <conditionalFormatting sqref="B4:B13">
    <cfRule type="duplicateValues" dxfId="14" priority="13"/>
  </conditionalFormatting>
  <conditionalFormatting sqref="N4:N13">
    <cfRule type="iconSet" priority="1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1">
      <iconSet iconSet="3Symbols2">
        <cfvo type="percent" val="0"/>
        <cfvo type="percent" val="33"/>
        <cfvo type="percent" val="67"/>
      </iconSet>
    </cfRule>
    <cfRule type="dataBar" priority="12">
      <dataBar>
        <cfvo type="min"/>
        <cfvo type="max"/>
        <color rgb="FF008AEF"/>
      </dataBar>
    </cfRule>
  </conditionalFormatting>
  <conditionalFormatting sqref="O4:O13">
    <cfRule type="cellIs" dxfId="13" priority="7" operator="equal">
      <formula>$B$40</formula>
    </cfRule>
    <cfRule type="cellIs" dxfId="12" priority="8" operator="equal">
      <formula>$B$41</formula>
    </cfRule>
    <cfRule type="cellIs" dxfId="11" priority="9" operator="equal">
      <formula>$B$42</formula>
    </cfRule>
  </conditionalFormatting>
  <conditionalFormatting sqref="B4:R13">
    <cfRule type="expression" dxfId="10" priority="6">
      <formula>$O4=$B$40</formula>
    </cfRule>
  </conditionalFormatting>
  <conditionalFormatting sqref="B8">
    <cfRule type="duplicateValues" dxfId="9" priority="5"/>
  </conditionalFormatting>
  <conditionalFormatting sqref="B8">
    <cfRule type="expression" dxfId="8" priority="4">
      <formula>$O8=$B$40</formula>
    </cfRule>
  </conditionalFormatting>
  <conditionalFormatting sqref="R4:R13">
    <cfRule type="expression" dxfId="7" priority="1">
      <formula>$O4=$B$40</formula>
    </cfRule>
  </conditionalFormatting>
  <dataValidations count="2">
    <dataValidation type="list" allowBlank="1" showInputMessage="1" showErrorMessage="1" errorTitle="שגיאת הקלדה" error="הערכים החוקיים הם:_x000a_ 'ז' עבור סטודנטים _x000a_ 'נ' עבור סטודנטיות" promptTitle="הזנת מגדר לסטודנטים" prompt="הקלד 'ז' עבור סטודנטים, ו- 'נ' עבור סטודנטיות" sqref="D4:D13">
      <formula1>$B$45:$B$46</formula1>
    </dataValidation>
    <dataValidation type="whole" allowBlank="1" showInputMessage="1" showErrorMessage="1" sqref="H4:J13 L4:M13">
      <formula1>$C$40</formula1>
      <formula2>$D$42</formula2>
    </dataValidation>
  </dataValidations>
  <pageMargins left="0.75" right="0.75" top="1" bottom="1" header="0.5" footer="0.5"/>
  <pageSetup paperSize="9" orientation="portrait" horizontalDpi="36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11"/>
  <sheetViews>
    <sheetView rightToLeft="1" zoomScaleNormal="100" workbookViewId="0">
      <pane xSplit="1" ySplit="3" topLeftCell="B4" activePane="bottomRight" state="frozen"/>
      <selection activeCell="K32" sqref="K32"/>
      <selection pane="topRight" activeCell="K32" sqref="K32"/>
      <selection pane="bottomLeft" activeCell="K32" sqref="K32"/>
      <selection pane="bottomRight" activeCell="B4" sqref="B4"/>
    </sheetView>
  </sheetViews>
  <sheetFormatPr defaultRowHeight="12.75"/>
  <cols>
    <col min="1" max="1" width="4.7109375" customWidth="1"/>
    <col min="2" max="2" width="14.7109375" bestFit="1" customWidth="1"/>
    <col min="3" max="3" width="8.42578125" bestFit="1" customWidth="1"/>
    <col min="4" max="4" width="6.5703125" bestFit="1" customWidth="1"/>
    <col min="5" max="5" width="8.5703125" bestFit="1" customWidth="1"/>
    <col min="6" max="6" width="8.42578125" bestFit="1" customWidth="1"/>
    <col min="7" max="7" width="8.140625" bestFit="1" customWidth="1"/>
    <col min="8" max="10" width="6.5703125" customWidth="1"/>
    <col min="11" max="11" width="8" bestFit="1" customWidth="1"/>
    <col min="12" max="13" width="6.5703125" style="1" bestFit="1" customWidth="1"/>
    <col min="14" max="14" width="7.7109375" bestFit="1" customWidth="1"/>
    <col min="15" max="15" width="6.28515625" bestFit="1" customWidth="1"/>
    <col min="16" max="16" width="8" bestFit="1" customWidth="1"/>
    <col min="17" max="17" width="7.85546875" bestFit="1" customWidth="1"/>
    <col min="18" max="18" width="7" bestFit="1" customWidth="1"/>
    <col min="19" max="19" width="5" bestFit="1" customWidth="1"/>
    <col min="20" max="20" width="6" bestFit="1" customWidth="1"/>
  </cols>
  <sheetData>
    <row r="1" spans="1:23" ht="30.75">
      <c r="A1" s="102" t="s">
        <v>45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T1" s="56"/>
    </row>
    <row r="2" spans="1:23" ht="13.5" thickBot="1"/>
    <row r="3" spans="1:23" s="4" customFormat="1" ht="37.5" customHeight="1" thickTop="1" thickBot="1">
      <c r="A3" s="103" t="s">
        <v>46</v>
      </c>
      <c r="B3" s="29" t="s">
        <v>41</v>
      </c>
      <c r="C3" s="28" t="s">
        <v>1</v>
      </c>
      <c r="D3" s="28" t="s">
        <v>8</v>
      </c>
      <c r="E3" s="28" t="s">
        <v>51</v>
      </c>
      <c r="F3" s="28" t="s">
        <v>50</v>
      </c>
      <c r="G3" s="28" t="s">
        <v>54</v>
      </c>
      <c r="H3" s="28" t="s">
        <v>9</v>
      </c>
      <c r="I3" s="28" t="s">
        <v>10</v>
      </c>
      <c r="J3" s="28" t="s">
        <v>11</v>
      </c>
      <c r="K3" s="28" t="s">
        <v>12</v>
      </c>
      <c r="L3" s="28" t="s">
        <v>13</v>
      </c>
      <c r="M3" s="28" t="s">
        <v>14</v>
      </c>
      <c r="N3" s="28" t="s">
        <v>15</v>
      </c>
      <c r="O3" s="28" t="s">
        <v>16</v>
      </c>
      <c r="P3" s="28" t="s">
        <v>39</v>
      </c>
      <c r="Q3" s="41" t="s">
        <v>40</v>
      </c>
      <c r="R3" s="57" t="s">
        <v>59</v>
      </c>
      <c r="S3"/>
      <c r="T3" s="91" t="s">
        <v>66</v>
      </c>
      <c r="U3" s="92"/>
      <c r="V3" s="92"/>
      <c r="W3" s="92"/>
    </row>
    <row r="4" spans="1:23">
      <c r="A4" s="104"/>
      <c r="B4" s="30">
        <v>123456789</v>
      </c>
      <c r="C4" s="9" t="s">
        <v>2</v>
      </c>
      <c r="D4" s="9" t="s">
        <v>17</v>
      </c>
      <c r="E4" s="11">
        <v>9877665</v>
      </c>
      <c r="F4" s="14">
        <v>123</v>
      </c>
      <c r="G4" s="38" t="s">
        <v>55</v>
      </c>
      <c r="H4" s="9">
        <v>89</v>
      </c>
      <c r="I4" s="9">
        <v>86</v>
      </c>
      <c r="J4" s="9">
        <v>99</v>
      </c>
      <c r="K4" s="17">
        <f t="shared" ref="K4:K13" si="0">AVERAGE(H4:J4)</f>
        <v>91.333333333333329</v>
      </c>
      <c r="L4" s="9">
        <v>99</v>
      </c>
      <c r="M4" s="9">
        <v>80</v>
      </c>
      <c r="N4" s="20">
        <f t="shared" ref="N4:N13" si="1">ROUND(H4*$C$32+I4*$C$33+J4*$C$34+L4*$C$35+M4*$C$36,0)</f>
        <v>89</v>
      </c>
      <c r="O4" s="9" t="str">
        <f t="shared" ref="O4:O13" si="2">IF(N4&lt;$C$41,$B$40,IF(N4&lt;$C$42,$B$41,$B$42))</f>
        <v>מצטיין</v>
      </c>
      <c r="P4" s="9" t="str">
        <f t="shared" ref="P4:P13" si="3">IF(AND(D4=$C$46,O4=$B$42),"מלגה","")</f>
        <v/>
      </c>
      <c r="Q4" s="42" t="str">
        <f t="shared" ref="Q4:Q13" si="4">IF(OR(D4=$C$46,O4=$B$42),"מלגה","")</f>
        <v>מלגה</v>
      </c>
      <c r="R4" s="10" t="str">
        <f t="shared" ref="R4:R13" si="5">IF(NOT(N4&lt;$C$41),"מלגה","")</f>
        <v>מלגה</v>
      </c>
    </row>
    <row r="5" spans="1:23">
      <c r="A5" s="104"/>
      <c r="B5" s="31">
        <v>193878400</v>
      </c>
      <c r="C5" s="5" t="s">
        <v>3</v>
      </c>
      <c r="D5" s="5" t="s">
        <v>18</v>
      </c>
      <c r="E5" s="12">
        <v>9876544</v>
      </c>
      <c r="F5" s="15">
        <v>70000</v>
      </c>
      <c r="G5" s="39" t="s">
        <v>55</v>
      </c>
      <c r="H5" s="5">
        <v>81</v>
      </c>
      <c r="I5" s="5">
        <v>80</v>
      </c>
      <c r="J5" s="5">
        <v>82</v>
      </c>
      <c r="K5" s="18">
        <f t="shared" si="0"/>
        <v>81</v>
      </c>
      <c r="L5" s="5">
        <v>81</v>
      </c>
      <c r="M5" s="5">
        <v>81</v>
      </c>
      <c r="N5" s="21">
        <f t="shared" si="1"/>
        <v>81</v>
      </c>
      <c r="O5" s="5" t="str">
        <f t="shared" si="2"/>
        <v>עובר</v>
      </c>
      <c r="P5" s="5" t="str">
        <f t="shared" si="3"/>
        <v/>
      </c>
      <c r="Q5" s="43" t="str">
        <f t="shared" si="4"/>
        <v>מלגה</v>
      </c>
      <c r="R5" s="6" t="str">
        <f t="shared" si="5"/>
        <v>מלגה</v>
      </c>
    </row>
    <row r="6" spans="1:23">
      <c r="A6" s="104"/>
      <c r="B6" s="31">
        <v>244576280</v>
      </c>
      <c r="C6" s="5" t="s">
        <v>19</v>
      </c>
      <c r="D6" s="5" t="s">
        <v>18</v>
      </c>
      <c r="E6" s="12">
        <v>3252524</v>
      </c>
      <c r="F6" s="15">
        <v>44451</v>
      </c>
      <c r="G6" s="39" t="s">
        <v>0</v>
      </c>
      <c r="H6" s="5">
        <v>94</v>
      </c>
      <c r="I6" s="5">
        <v>100</v>
      </c>
      <c r="J6" s="5">
        <v>93</v>
      </c>
      <c r="K6" s="18">
        <f t="shared" si="0"/>
        <v>95.666666666666671</v>
      </c>
      <c r="L6" s="5">
        <v>95</v>
      </c>
      <c r="M6" s="5">
        <v>100</v>
      </c>
      <c r="N6" s="21">
        <f t="shared" si="1"/>
        <v>97</v>
      </c>
      <c r="O6" s="5" t="str">
        <f t="shared" si="2"/>
        <v>מצטיין</v>
      </c>
      <c r="P6" s="5" t="str">
        <f t="shared" si="3"/>
        <v>מלגה</v>
      </c>
      <c r="Q6" s="43" t="str">
        <f t="shared" si="4"/>
        <v>מלגה</v>
      </c>
      <c r="R6" s="6" t="str">
        <f t="shared" si="5"/>
        <v>מלגה</v>
      </c>
    </row>
    <row r="7" spans="1:23">
      <c r="A7" s="104"/>
      <c r="B7" s="31">
        <v>298754355</v>
      </c>
      <c r="C7" s="5" t="s">
        <v>6</v>
      </c>
      <c r="D7" s="5" t="s">
        <v>17</v>
      </c>
      <c r="E7" s="12">
        <v>8763456</v>
      </c>
      <c r="F7" s="15">
        <v>83934</v>
      </c>
      <c r="G7" s="39" t="s">
        <v>0</v>
      </c>
      <c r="H7" s="5">
        <v>88</v>
      </c>
      <c r="I7" s="5">
        <v>90</v>
      </c>
      <c r="J7" s="5">
        <v>74</v>
      </c>
      <c r="K7" s="18">
        <f t="shared" si="0"/>
        <v>84</v>
      </c>
      <c r="L7" s="5">
        <v>55</v>
      </c>
      <c r="M7" s="5">
        <v>45</v>
      </c>
      <c r="N7" s="21">
        <f t="shared" si="1"/>
        <v>60</v>
      </c>
      <c r="O7" s="5" t="str">
        <f t="shared" si="2"/>
        <v>עובר</v>
      </c>
      <c r="P7" s="5" t="str">
        <f t="shared" si="3"/>
        <v/>
      </c>
      <c r="Q7" s="43" t="str">
        <f t="shared" si="4"/>
        <v/>
      </c>
      <c r="R7" s="6" t="str">
        <f t="shared" si="5"/>
        <v>מלגה</v>
      </c>
    </row>
    <row r="8" spans="1:23">
      <c r="A8" s="104"/>
      <c r="B8" s="31">
        <v>388923057</v>
      </c>
      <c r="C8" s="5" t="s">
        <v>5</v>
      </c>
      <c r="D8" s="5" t="s">
        <v>18</v>
      </c>
      <c r="E8" s="12">
        <v>8743644</v>
      </c>
      <c r="F8" s="15">
        <v>44141</v>
      </c>
      <c r="G8" s="39" t="s">
        <v>0</v>
      </c>
      <c r="H8" s="5">
        <v>60</v>
      </c>
      <c r="I8" s="5">
        <v>100</v>
      </c>
      <c r="J8" s="5">
        <v>80</v>
      </c>
      <c r="K8" s="18">
        <f t="shared" si="0"/>
        <v>80</v>
      </c>
      <c r="L8" s="5">
        <v>40</v>
      </c>
      <c r="M8" s="5">
        <v>61</v>
      </c>
      <c r="N8" s="21">
        <f t="shared" si="1"/>
        <v>60</v>
      </c>
      <c r="O8" s="5" t="str">
        <f t="shared" si="2"/>
        <v>עובר</v>
      </c>
      <c r="P8" s="5" t="str">
        <f t="shared" si="3"/>
        <v/>
      </c>
      <c r="Q8" s="43" t="str">
        <f t="shared" si="4"/>
        <v>מלגה</v>
      </c>
      <c r="R8" s="6" t="str">
        <f t="shared" si="5"/>
        <v>מלגה</v>
      </c>
    </row>
    <row r="9" spans="1:23">
      <c r="A9" s="104"/>
      <c r="B9" s="31">
        <v>658370843</v>
      </c>
      <c r="C9" s="5" t="s">
        <v>4</v>
      </c>
      <c r="D9" s="5" t="s">
        <v>18</v>
      </c>
      <c r="E9" s="12">
        <v>2118758</v>
      </c>
      <c r="F9" s="15">
        <v>55326</v>
      </c>
      <c r="G9" s="39" t="s">
        <v>55</v>
      </c>
      <c r="H9" s="5">
        <v>67</v>
      </c>
      <c r="I9" s="5">
        <v>99</v>
      </c>
      <c r="J9" s="5">
        <v>69</v>
      </c>
      <c r="K9" s="18">
        <f t="shared" si="0"/>
        <v>78.333333333333329</v>
      </c>
      <c r="L9" s="5">
        <v>90</v>
      </c>
      <c r="M9" s="5">
        <v>85</v>
      </c>
      <c r="N9" s="21">
        <f t="shared" si="1"/>
        <v>85</v>
      </c>
      <c r="O9" s="5" t="str">
        <f t="shared" si="2"/>
        <v>מצטיין</v>
      </c>
      <c r="P9" s="5" t="str">
        <f t="shared" si="3"/>
        <v>מלגה</v>
      </c>
      <c r="Q9" s="43" t="str">
        <f t="shared" si="4"/>
        <v>מלגה</v>
      </c>
      <c r="R9" s="6" t="str">
        <f t="shared" si="5"/>
        <v>מלגה</v>
      </c>
    </row>
    <row r="10" spans="1:23">
      <c r="A10" s="104"/>
      <c r="B10" s="31">
        <v>830998987</v>
      </c>
      <c r="C10" s="5" t="s">
        <v>5</v>
      </c>
      <c r="D10" s="5" t="s">
        <v>18</v>
      </c>
      <c r="E10" s="12">
        <v>3527439</v>
      </c>
      <c r="F10" s="15">
        <v>56324</v>
      </c>
      <c r="G10" s="39" t="s">
        <v>55</v>
      </c>
      <c r="H10" s="5">
        <v>80</v>
      </c>
      <c r="I10" s="5"/>
      <c r="J10" s="5">
        <v>87</v>
      </c>
      <c r="K10" s="18">
        <f t="shared" si="0"/>
        <v>83.5</v>
      </c>
      <c r="L10" s="5">
        <v>90</v>
      </c>
      <c r="M10" s="5"/>
      <c r="N10" s="21">
        <f t="shared" si="1"/>
        <v>44</v>
      </c>
      <c r="O10" s="5" t="str">
        <f t="shared" si="2"/>
        <v>נכשל</v>
      </c>
      <c r="P10" s="5" t="str">
        <f t="shared" si="3"/>
        <v/>
      </c>
      <c r="Q10" s="43" t="str">
        <f t="shared" si="4"/>
        <v>מלגה</v>
      </c>
      <c r="R10" s="6" t="str">
        <f t="shared" si="5"/>
        <v/>
      </c>
    </row>
    <row r="11" spans="1:23">
      <c r="A11" s="104"/>
      <c r="B11" s="31">
        <v>947465892</v>
      </c>
      <c r="C11" s="5" t="s">
        <v>19</v>
      </c>
      <c r="D11" s="5" t="s">
        <v>17</v>
      </c>
      <c r="E11" s="12">
        <v>3434324</v>
      </c>
      <c r="F11" s="15">
        <v>41466</v>
      </c>
      <c r="G11" s="39" t="s">
        <v>0</v>
      </c>
      <c r="H11" s="5"/>
      <c r="I11" s="5">
        <v>79</v>
      </c>
      <c r="J11" s="5">
        <v>99</v>
      </c>
      <c r="K11" s="18">
        <f t="shared" si="0"/>
        <v>89</v>
      </c>
      <c r="L11" s="5">
        <v>86</v>
      </c>
      <c r="M11" s="5">
        <v>65</v>
      </c>
      <c r="N11" s="21">
        <f t="shared" si="1"/>
        <v>70</v>
      </c>
      <c r="O11" s="5" t="str">
        <f t="shared" si="2"/>
        <v>עובר</v>
      </c>
      <c r="P11" s="5" t="str">
        <f t="shared" si="3"/>
        <v/>
      </c>
      <c r="Q11" s="43" t="str">
        <f t="shared" si="4"/>
        <v/>
      </c>
      <c r="R11" s="6" t="str">
        <f t="shared" si="5"/>
        <v>מלגה</v>
      </c>
    </row>
    <row r="12" spans="1:23">
      <c r="A12" s="104"/>
      <c r="B12" s="31">
        <v>983687692</v>
      </c>
      <c r="C12" s="5" t="s">
        <v>7</v>
      </c>
      <c r="D12" s="5" t="s">
        <v>18</v>
      </c>
      <c r="E12" s="12">
        <v>6347234</v>
      </c>
      <c r="F12" s="15">
        <v>55235</v>
      </c>
      <c r="G12" s="39" t="s">
        <v>0</v>
      </c>
      <c r="H12" s="5">
        <v>45</v>
      </c>
      <c r="I12" s="5">
        <v>60</v>
      </c>
      <c r="J12" s="5"/>
      <c r="K12" s="18">
        <f t="shared" si="0"/>
        <v>52.5</v>
      </c>
      <c r="L12" s="5">
        <v>99</v>
      </c>
      <c r="M12" s="5">
        <v>94</v>
      </c>
      <c r="N12" s="21">
        <f t="shared" si="1"/>
        <v>78</v>
      </c>
      <c r="O12" s="5" t="str">
        <f t="shared" si="2"/>
        <v>עובר</v>
      </c>
      <c r="P12" s="5" t="str">
        <f t="shared" si="3"/>
        <v/>
      </c>
      <c r="Q12" s="43" t="str">
        <f t="shared" si="4"/>
        <v>מלגה</v>
      </c>
      <c r="R12" s="6" t="str">
        <f t="shared" si="5"/>
        <v>מלגה</v>
      </c>
    </row>
    <row r="13" spans="1:23" ht="13.5" thickBot="1">
      <c r="A13" s="105"/>
      <c r="B13" s="32">
        <v>987654321</v>
      </c>
      <c r="C13" s="7" t="s">
        <v>42</v>
      </c>
      <c r="D13" s="7" t="s">
        <v>17</v>
      </c>
      <c r="E13" s="13">
        <v>7563094</v>
      </c>
      <c r="F13" s="16">
        <v>86534</v>
      </c>
      <c r="G13" s="40" t="s">
        <v>55</v>
      </c>
      <c r="H13" s="7">
        <v>91</v>
      </c>
      <c r="I13" s="7">
        <v>79</v>
      </c>
      <c r="J13" s="7">
        <v>85</v>
      </c>
      <c r="K13" s="19">
        <f t="shared" si="0"/>
        <v>85</v>
      </c>
      <c r="L13" s="7">
        <v>100</v>
      </c>
      <c r="M13" s="7">
        <v>50</v>
      </c>
      <c r="N13" s="22">
        <f t="shared" si="1"/>
        <v>76</v>
      </c>
      <c r="O13" s="7" t="str">
        <f t="shared" si="2"/>
        <v>עובר</v>
      </c>
      <c r="P13" s="7" t="str">
        <f t="shared" si="3"/>
        <v/>
      </c>
      <c r="Q13" s="44" t="str">
        <f t="shared" si="4"/>
        <v/>
      </c>
      <c r="R13" s="8" t="str">
        <f t="shared" si="5"/>
        <v>מלגה</v>
      </c>
    </row>
    <row r="14" spans="1:23" ht="14.25" thickTop="1" thickBot="1">
      <c r="L14"/>
      <c r="M14"/>
    </row>
    <row r="15" spans="1:23" ht="12.75" customHeight="1" thickTop="1">
      <c r="A15" s="93" t="s">
        <v>47</v>
      </c>
      <c r="B15" s="23" t="s">
        <v>20</v>
      </c>
      <c r="C15" s="23"/>
      <c r="D15" s="23"/>
      <c r="E15" s="23"/>
      <c r="F15" s="23"/>
      <c r="G15" s="23"/>
      <c r="H15" s="33">
        <f>AVERAGE(H4:H13)</f>
        <v>77.222222222222229</v>
      </c>
      <c r="I15" s="33">
        <f t="shared" ref="I15:N15" si="6">AVERAGE(I4:I13)</f>
        <v>85.888888888888886</v>
      </c>
      <c r="J15" s="33">
        <f t="shared" si="6"/>
        <v>85.333333333333329</v>
      </c>
      <c r="K15" s="33">
        <f t="shared" si="6"/>
        <v>82.033333333333331</v>
      </c>
      <c r="L15" s="33">
        <f t="shared" si="6"/>
        <v>83.5</v>
      </c>
      <c r="M15" s="33">
        <f t="shared" si="6"/>
        <v>73.444444444444443</v>
      </c>
      <c r="N15" s="34">
        <f t="shared" si="6"/>
        <v>74</v>
      </c>
    </row>
    <row r="16" spans="1:23">
      <c r="A16" s="94"/>
      <c r="B16" s="5" t="s">
        <v>21</v>
      </c>
      <c r="C16" s="5"/>
      <c r="D16" s="5"/>
      <c r="E16" s="5"/>
      <c r="F16" s="5"/>
      <c r="G16" s="5"/>
      <c r="H16" s="18">
        <f>MEDIAN(H4:H13)</f>
        <v>81</v>
      </c>
      <c r="I16" s="18">
        <f t="shared" ref="I16:N16" si="7">MEDIAN(I4:I13)</f>
        <v>86</v>
      </c>
      <c r="J16" s="18">
        <f t="shared" si="7"/>
        <v>85</v>
      </c>
      <c r="K16" s="18">
        <f t="shared" si="7"/>
        <v>83.75</v>
      </c>
      <c r="L16" s="18">
        <f t="shared" si="7"/>
        <v>90</v>
      </c>
      <c r="M16" s="18">
        <f t="shared" si="7"/>
        <v>80</v>
      </c>
      <c r="N16" s="26">
        <f t="shared" si="7"/>
        <v>77</v>
      </c>
    </row>
    <row r="17" spans="1:14">
      <c r="A17" s="94"/>
      <c r="B17" s="5" t="s">
        <v>22</v>
      </c>
      <c r="C17" s="5"/>
      <c r="D17" s="5"/>
      <c r="E17" s="5"/>
      <c r="F17" s="5"/>
      <c r="G17" s="5"/>
      <c r="H17" s="18" t="e">
        <f>MODE(H4:H13)</f>
        <v>#N/A</v>
      </c>
      <c r="I17" s="18">
        <f t="shared" ref="I17:N17" si="8">MODE(I4:I13)</f>
        <v>100</v>
      </c>
      <c r="J17" s="18">
        <f t="shared" si="8"/>
        <v>99</v>
      </c>
      <c r="K17" s="18" t="e">
        <f t="shared" si="8"/>
        <v>#N/A</v>
      </c>
      <c r="L17" s="18">
        <f t="shared" si="8"/>
        <v>99</v>
      </c>
      <c r="M17" s="18" t="e">
        <f t="shared" si="8"/>
        <v>#N/A</v>
      </c>
      <c r="N17" s="26">
        <f t="shared" si="8"/>
        <v>60</v>
      </c>
    </row>
    <row r="18" spans="1:14">
      <c r="A18" s="94"/>
      <c r="B18" s="5" t="s">
        <v>23</v>
      </c>
      <c r="C18" s="5"/>
      <c r="D18" s="5"/>
      <c r="E18" s="5"/>
      <c r="F18" s="5"/>
      <c r="G18" s="5"/>
      <c r="H18" s="18">
        <f>MAX(H4:H13)</f>
        <v>94</v>
      </c>
      <c r="I18" s="18">
        <f t="shared" ref="I18:N18" si="9">MAX(I4:I13)</f>
        <v>100</v>
      </c>
      <c r="J18" s="18">
        <f t="shared" si="9"/>
        <v>99</v>
      </c>
      <c r="K18" s="18">
        <f t="shared" si="9"/>
        <v>95.666666666666671</v>
      </c>
      <c r="L18" s="18">
        <f t="shared" si="9"/>
        <v>100</v>
      </c>
      <c r="M18" s="18">
        <f t="shared" si="9"/>
        <v>100</v>
      </c>
      <c r="N18" s="26">
        <f t="shared" si="9"/>
        <v>97</v>
      </c>
    </row>
    <row r="19" spans="1:14">
      <c r="A19" s="94"/>
      <c r="B19" s="5" t="s">
        <v>24</v>
      </c>
      <c r="C19" s="5"/>
      <c r="D19" s="5"/>
      <c r="E19" s="5"/>
      <c r="F19" s="5"/>
      <c r="G19" s="5"/>
      <c r="H19" s="18">
        <f>MIN(H4:H13)</f>
        <v>45</v>
      </c>
      <c r="I19" s="18">
        <f t="shared" ref="I19:N19" si="10">MIN(I4:I13)</f>
        <v>60</v>
      </c>
      <c r="J19" s="18">
        <f t="shared" si="10"/>
        <v>69</v>
      </c>
      <c r="K19" s="18">
        <f t="shared" si="10"/>
        <v>52.5</v>
      </c>
      <c r="L19" s="18">
        <f t="shared" si="10"/>
        <v>40</v>
      </c>
      <c r="M19" s="18">
        <f t="shared" si="10"/>
        <v>45</v>
      </c>
      <c r="N19" s="26">
        <f t="shared" si="10"/>
        <v>44</v>
      </c>
    </row>
    <row r="20" spans="1:14">
      <c r="A20" s="94"/>
      <c r="B20" s="5" t="s">
        <v>43</v>
      </c>
      <c r="C20" s="5"/>
      <c r="D20" s="5"/>
      <c r="E20" s="5"/>
      <c r="F20" s="5"/>
      <c r="G20" s="5"/>
      <c r="H20" s="18">
        <f>_xlfn.STDEV.P(H4:H13)</f>
        <v>15.59043708159145</v>
      </c>
      <c r="I20" s="18">
        <f t="shared" ref="I20:N20" si="11">_xlfn.STDEV.P(I4:I13)</f>
        <v>12.4136523808305</v>
      </c>
      <c r="J20" s="18">
        <f t="shared" si="11"/>
        <v>9.8319208025017506</v>
      </c>
      <c r="K20" s="18">
        <f t="shared" si="11"/>
        <v>11.076200712438522</v>
      </c>
      <c r="L20" s="18">
        <f t="shared" si="11"/>
        <v>19.200260414900626</v>
      </c>
      <c r="M20" s="18">
        <f t="shared" si="11"/>
        <v>18.093038017186554</v>
      </c>
      <c r="N20" s="26">
        <f t="shared" si="11"/>
        <v>15.006665185843255</v>
      </c>
    </row>
    <row r="21" spans="1:14">
      <c r="A21" s="94"/>
      <c r="B21" s="5" t="s">
        <v>44</v>
      </c>
      <c r="C21" s="5"/>
      <c r="D21" s="5"/>
      <c r="E21" s="5"/>
      <c r="F21" s="5"/>
      <c r="G21" s="5"/>
      <c r="H21" s="18">
        <f>_xlfn.VAR.P(H4:H13)</f>
        <v>243.06172839506172</v>
      </c>
      <c r="I21" s="18">
        <f t="shared" ref="I21:N21" si="12">_xlfn.VAR.P(I4:I13)</f>
        <v>154.09876543209876</v>
      </c>
      <c r="J21" s="18">
        <f t="shared" si="12"/>
        <v>96.666666666666671</v>
      </c>
      <c r="K21" s="18">
        <f t="shared" si="12"/>
        <v>122.68222222222364</v>
      </c>
      <c r="L21" s="18">
        <f t="shared" si="12"/>
        <v>368.65</v>
      </c>
      <c r="M21" s="18">
        <f t="shared" si="12"/>
        <v>327.35802469135803</v>
      </c>
      <c r="N21" s="26">
        <f t="shared" si="12"/>
        <v>225.2</v>
      </c>
    </row>
    <row r="22" spans="1:14">
      <c r="A22" s="94"/>
      <c r="B22" s="5" t="s">
        <v>37</v>
      </c>
      <c r="C22" s="5"/>
      <c r="D22" s="5"/>
      <c r="E22" s="5"/>
      <c r="F22" s="5"/>
      <c r="G22" s="5"/>
      <c r="H22" s="5">
        <f>COUNT(H4:H13)</f>
        <v>9</v>
      </c>
      <c r="I22" s="5">
        <f t="shared" ref="I22:N22" si="13">COUNT(I4:I13)</f>
        <v>9</v>
      </c>
      <c r="J22" s="5">
        <f t="shared" si="13"/>
        <v>9</v>
      </c>
      <c r="K22" s="5">
        <f t="shared" si="13"/>
        <v>10</v>
      </c>
      <c r="L22" s="5">
        <f t="shared" si="13"/>
        <v>10</v>
      </c>
      <c r="M22" s="5">
        <f t="shared" si="13"/>
        <v>9</v>
      </c>
      <c r="N22" s="6">
        <f t="shared" si="13"/>
        <v>10</v>
      </c>
    </row>
    <row r="23" spans="1:14">
      <c r="A23" s="94"/>
      <c r="B23" s="5" t="s">
        <v>25</v>
      </c>
      <c r="C23" s="5"/>
      <c r="D23" s="5"/>
      <c r="E23" s="5"/>
      <c r="F23" s="5"/>
      <c r="G23" s="5"/>
      <c r="H23" s="5">
        <f>COUNTIF(H4:H13,"&lt;"&amp;$C$41)</f>
        <v>1</v>
      </c>
      <c r="I23" s="5">
        <f t="shared" ref="I23:N23" si="14">COUNTIF(I4:I13,"&lt;"&amp;$C$41)</f>
        <v>0</v>
      </c>
      <c r="J23" s="5">
        <f t="shared" si="14"/>
        <v>0</v>
      </c>
      <c r="K23" s="5">
        <f t="shared" si="14"/>
        <v>1</v>
      </c>
      <c r="L23" s="5">
        <f t="shared" si="14"/>
        <v>2</v>
      </c>
      <c r="M23" s="5">
        <f t="shared" si="14"/>
        <v>2</v>
      </c>
      <c r="N23" s="25">
        <f t="shared" si="14"/>
        <v>1</v>
      </c>
    </row>
    <row r="24" spans="1:14">
      <c r="A24" s="94"/>
      <c r="B24" s="5" t="s">
        <v>52</v>
      </c>
      <c r="C24" s="5"/>
      <c r="D24" s="5"/>
      <c r="E24" s="5"/>
      <c r="F24" s="5"/>
      <c r="G24" s="5"/>
      <c r="H24" s="5">
        <f>COUNTIFS(H4:H13,"&gt;="&amp;$C$41,H4:H13,"&lt;"&amp;$C$42)</f>
        <v>4</v>
      </c>
      <c r="I24" s="5">
        <f t="shared" ref="I24:N24" si="15">COUNTIFS(I4:I13,"&gt;="&amp;$C$41,I4:I13,"&lt;"&amp;$C$42)</f>
        <v>4</v>
      </c>
      <c r="J24" s="5">
        <f t="shared" si="15"/>
        <v>4</v>
      </c>
      <c r="K24" s="5">
        <f t="shared" si="15"/>
        <v>5</v>
      </c>
      <c r="L24" s="5">
        <f t="shared" si="15"/>
        <v>1</v>
      </c>
      <c r="M24" s="5">
        <f t="shared" si="15"/>
        <v>4</v>
      </c>
      <c r="N24" s="25">
        <f t="shared" si="15"/>
        <v>6</v>
      </c>
    </row>
    <row r="25" spans="1:14">
      <c r="A25" s="94"/>
      <c r="B25" s="5" t="s">
        <v>53</v>
      </c>
      <c r="C25" s="5"/>
      <c r="D25" s="5"/>
      <c r="E25" s="5"/>
      <c r="F25" s="5"/>
      <c r="G25" s="5"/>
      <c r="H25" s="5">
        <f>COUNTIF(H4:H13,E42)</f>
        <v>4</v>
      </c>
      <c r="I25" s="5">
        <f t="shared" ref="I25:N25" si="16">COUNTIF(I4:I13,"&gt;="&amp;$C$42)</f>
        <v>5</v>
      </c>
      <c r="J25" s="5">
        <f t="shared" si="16"/>
        <v>5</v>
      </c>
      <c r="K25" s="5">
        <f t="shared" si="16"/>
        <v>4</v>
      </c>
      <c r="L25" s="5">
        <f t="shared" si="16"/>
        <v>7</v>
      </c>
      <c r="M25" s="5">
        <f t="shared" si="16"/>
        <v>3</v>
      </c>
      <c r="N25" s="25">
        <f t="shared" si="16"/>
        <v>3</v>
      </c>
    </row>
    <row r="26" spans="1:14">
      <c r="A26" s="94"/>
      <c r="B26" s="39" t="s">
        <v>60</v>
      </c>
      <c r="C26" s="5" t="str">
        <f>B45</f>
        <v>סטודנטים</v>
      </c>
      <c r="D26" s="5"/>
      <c r="E26" s="5"/>
      <c r="F26" s="5"/>
      <c r="G26" s="5"/>
      <c r="H26" s="5">
        <f>COUNTIFS($D$4:$D$13,$C$45,H4:H13,"&gt;="&amp;$C$42)</f>
        <v>3</v>
      </c>
      <c r="I26" s="5">
        <f t="shared" ref="I26:N26" si="17">COUNTIFS($D$4:$D$13,$C$45,I4:I13,"&gt;="&amp;$C$42)</f>
        <v>2</v>
      </c>
      <c r="J26" s="5">
        <f t="shared" si="17"/>
        <v>3</v>
      </c>
      <c r="K26" s="5">
        <f t="shared" si="17"/>
        <v>3</v>
      </c>
      <c r="L26" s="5">
        <f t="shared" si="17"/>
        <v>3</v>
      </c>
      <c r="M26" s="5">
        <f t="shared" si="17"/>
        <v>0</v>
      </c>
      <c r="N26" s="6">
        <f t="shared" si="17"/>
        <v>1</v>
      </c>
    </row>
    <row r="27" spans="1:14">
      <c r="A27" s="95"/>
      <c r="B27" s="45"/>
      <c r="C27" s="5" t="str">
        <f>B46</f>
        <v>סטודנטיות</v>
      </c>
      <c r="D27" s="45"/>
      <c r="E27" s="45"/>
      <c r="F27" s="45"/>
      <c r="G27" s="45"/>
      <c r="H27" s="45">
        <f>COUNTIFS($D$4:$D$13,$C$46,H4:H13,$E$42)</f>
        <v>1</v>
      </c>
      <c r="I27" s="45">
        <f t="shared" ref="I27:N27" si="18">COUNTIFS($D$4:$D$13,$C$46,I4:I13,$E$42)</f>
        <v>3</v>
      </c>
      <c r="J27" s="45">
        <f t="shared" si="18"/>
        <v>2</v>
      </c>
      <c r="K27" s="45">
        <f t="shared" si="18"/>
        <v>1</v>
      </c>
      <c r="L27" s="45">
        <f t="shared" si="18"/>
        <v>4</v>
      </c>
      <c r="M27" s="45">
        <f t="shared" si="18"/>
        <v>3</v>
      </c>
      <c r="N27" s="46">
        <f t="shared" si="18"/>
        <v>2</v>
      </c>
    </row>
    <row r="28" spans="1:14">
      <c r="A28" s="95"/>
      <c r="B28" s="45" t="s">
        <v>38</v>
      </c>
      <c r="C28" s="45"/>
      <c r="D28" s="45">
        <f>COUNTA(C4:C13)</f>
        <v>10</v>
      </c>
      <c r="E28" s="45"/>
      <c r="F28" s="45"/>
      <c r="G28" s="49" t="s">
        <v>63</v>
      </c>
      <c r="H28" s="50">
        <f>AVERAGEIFS(H4:H13,H4:H13,"&gt;="&amp;$C$41,H4:H13,"&lt;"&amp;$C$42)</f>
        <v>72</v>
      </c>
      <c r="I28" s="50">
        <f t="shared" ref="I28:N28" si="19">AVERAGEIFS(I4:I13,I4:I13,"&gt;="&amp;$C$41,I4:I13,"&lt;"&amp;$C$42)</f>
        <v>74.5</v>
      </c>
      <c r="J28" s="50">
        <f t="shared" si="19"/>
        <v>76.25</v>
      </c>
      <c r="K28" s="50">
        <f t="shared" si="19"/>
        <v>81.36666666666666</v>
      </c>
      <c r="L28" s="50">
        <f t="shared" si="19"/>
        <v>81</v>
      </c>
      <c r="M28" s="50">
        <f t="shared" si="19"/>
        <v>71.75</v>
      </c>
      <c r="N28" s="51">
        <f t="shared" si="19"/>
        <v>70.833333333333329</v>
      </c>
    </row>
    <row r="29" spans="1:14">
      <c r="A29" s="95"/>
      <c r="B29" s="39" t="s">
        <v>60</v>
      </c>
      <c r="C29" s="45" t="str">
        <f>B45</f>
        <v>סטודנטים</v>
      </c>
      <c r="D29" s="45">
        <f>COUNTIF(D4:D13,C45)</f>
        <v>4</v>
      </c>
      <c r="E29" s="45"/>
      <c r="F29" s="45"/>
      <c r="G29" s="48" t="s">
        <v>62</v>
      </c>
      <c r="H29" s="50">
        <f>AVERAGEIF($D$4:$D$13,$C45,H$4:H$13)</f>
        <v>89.333333333333329</v>
      </c>
      <c r="I29" s="50">
        <f t="shared" ref="I29:N29" si="20">AVERAGEIF($D$4:$D$13,$C45,I$4:I$13)</f>
        <v>83.5</v>
      </c>
      <c r="J29" s="50">
        <f t="shared" si="20"/>
        <v>89.25</v>
      </c>
      <c r="K29" s="50">
        <f t="shared" si="20"/>
        <v>87.333333333333329</v>
      </c>
      <c r="L29" s="50">
        <f t="shared" si="20"/>
        <v>85</v>
      </c>
      <c r="M29" s="50">
        <f t="shared" si="20"/>
        <v>60</v>
      </c>
      <c r="N29" s="51">
        <f t="shared" si="20"/>
        <v>73.75</v>
      </c>
    </row>
    <row r="30" spans="1:14" ht="13.5" thickBot="1">
      <c r="A30" s="96"/>
      <c r="B30" s="7"/>
      <c r="C30" s="7" t="str">
        <f>B46</f>
        <v>סטודנטיות</v>
      </c>
      <c r="D30" s="7">
        <f>COUNTIF(D4:D13,C46)</f>
        <v>6</v>
      </c>
      <c r="E30" s="7"/>
      <c r="F30" s="7"/>
      <c r="G30" s="7" t="s">
        <v>62</v>
      </c>
      <c r="H30" s="52">
        <f t="shared" ref="H30:N30" si="21">AVERAGEIF($D$4:$D$13,$C46,H$4:H$13)</f>
        <v>71.166666666666671</v>
      </c>
      <c r="I30" s="54">
        <f t="shared" si="21"/>
        <v>87.8</v>
      </c>
      <c r="J30" s="52">
        <f t="shared" si="21"/>
        <v>82.2</v>
      </c>
      <c r="K30" s="52">
        <f t="shared" si="21"/>
        <v>78.5</v>
      </c>
      <c r="L30" s="52">
        <f t="shared" si="21"/>
        <v>82.5</v>
      </c>
      <c r="M30" s="52">
        <f t="shared" si="21"/>
        <v>84.2</v>
      </c>
      <c r="N30" s="53">
        <f t="shared" si="21"/>
        <v>74.166666666666671</v>
      </c>
    </row>
    <row r="31" spans="1:14" ht="14.25" thickTop="1" thickBot="1">
      <c r="L31"/>
      <c r="M31"/>
    </row>
    <row r="32" spans="1:14" ht="13.5" thickTop="1">
      <c r="A32" s="97" t="s">
        <v>48</v>
      </c>
      <c r="B32" s="23" t="s">
        <v>26</v>
      </c>
      <c r="C32" s="35">
        <v>0.1</v>
      </c>
      <c r="L32"/>
      <c r="M32"/>
    </row>
    <row r="33" spans="1:14">
      <c r="A33" s="98"/>
      <c r="B33" s="5" t="s">
        <v>27</v>
      </c>
      <c r="C33" s="36">
        <v>0.1</v>
      </c>
      <c r="L33"/>
      <c r="M33"/>
    </row>
    <row r="34" spans="1:14">
      <c r="A34" s="98"/>
      <c r="B34" s="5" t="s">
        <v>28</v>
      </c>
      <c r="C34" s="36">
        <v>0.1</v>
      </c>
      <c r="L34"/>
      <c r="M34"/>
    </row>
    <row r="35" spans="1:14">
      <c r="A35" s="98"/>
      <c r="B35" s="5" t="s">
        <v>29</v>
      </c>
      <c r="C35" s="36">
        <v>0.3</v>
      </c>
      <c r="L35"/>
      <c r="M35"/>
    </row>
    <row r="36" spans="1:14">
      <c r="A36" s="98"/>
      <c r="B36" s="5" t="s">
        <v>30</v>
      </c>
      <c r="C36" s="36">
        <v>0.4</v>
      </c>
      <c r="L36"/>
      <c r="M36"/>
    </row>
    <row r="37" spans="1:14" ht="13.5" thickBot="1">
      <c r="A37" s="99"/>
      <c r="B37" s="7" t="s">
        <v>31</v>
      </c>
      <c r="C37" s="37">
        <f>SUM(C32:C36)</f>
        <v>1</v>
      </c>
      <c r="L37"/>
      <c r="M37"/>
    </row>
    <row r="38" spans="1:14" ht="12.75" customHeight="1" thickTop="1" thickBot="1">
      <c r="L38"/>
      <c r="M38"/>
    </row>
    <row r="39" spans="1:14" ht="13.5" thickTop="1">
      <c r="A39" s="97" t="s">
        <v>49</v>
      </c>
      <c r="B39" s="23"/>
      <c r="C39" s="23" t="s">
        <v>32</v>
      </c>
      <c r="D39" s="24" t="s">
        <v>33</v>
      </c>
      <c r="L39"/>
      <c r="M39"/>
      <c r="N39" s="1"/>
    </row>
    <row r="40" spans="1:14">
      <c r="A40" s="98"/>
      <c r="B40" s="5" t="s">
        <v>34</v>
      </c>
      <c r="C40" s="18">
        <v>0</v>
      </c>
      <c r="D40" s="26">
        <v>59.49</v>
      </c>
      <c r="E40" s="3"/>
      <c r="F40" s="3"/>
      <c r="G40" s="3"/>
      <c r="L40"/>
      <c r="M40"/>
      <c r="N40" s="2"/>
    </row>
    <row r="41" spans="1:14">
      <c r="A41" s="98"/>
      <c r="B41" s="5" t="s">
        <v>35</v>
      </c>
      <c r="C41" s="18">
        <v>59.5</v>
      </c>
      <c r="D41" s="26">
        <v>84.49</v>
      </c>
      <c r="E41" s="3"/>
      <c r="F41" s="3"/>
      <c r="G41" s="3"/>
      <c r="L41"/>
      <c r="M41"/>
      <c r="N41" s="1"/>
    </row>
    <row r="42" spans="1:14" ht="13.5" thickBot="1">
      <c r="A42" s="99"/>
      <c r="B42" s="7" t="s">
        <v>36</v>
      </c>
      <c r="C42" s="19">
        <f>84.5</f>
        <v>84.5</v>
      </c>
      <c r="D42" s="27">
        <v>100</v>
      </c>
      <c r="E42" s="47" t="s">
        <v>61</v>
      </c>
      <c r="F42" s="3"/>
      <c r="G42" s="3"/>
      <c r="L42"/>
      <c r="M42"/>
      <c r="N42" s="1"/>
    </row>
    <row r="43" spans="1:14" ht="14.25" thickTop="1" thickBot="1"/>
    <row r="44" spans="1:14" ht="13.5" thickTop="1">
      <c r="A44" s="97" t="s">
        <v>58</v>
      </c>
      <c r="B44" s="100" t="s">
        <v>8</v>
      </c>
      <c r="C44" s="101"/>
    </row>
    <row r="45" spans="1:14">
      <c r="A45" s="98"/>
      <c r="B45" s="5" t="s">
        <v>56</v>
      </c>
      <c r="C45" s="26" t="s">
        <v>17</v>
      </c>
    </row>
    <row r="46" spans="1:14" ht="13.5" thickBot="1">
      <c r="A46" s="99"/>
      <c r="B46" s="7" t="s">
        <v>57</v>
      </c>
      <c r="C46" s="27" t="s">
        <v>18</v>
      </c>
    </row>
    <row r="47" spans="1:14" ht="13.5" thickTop="1"/>
    <row r="49" spans="2:22" ht="13.5" thickBot="1"/>
    <row r="50" spans="2:22" ht="27" thickTop="1" thickBot="1">
      <c r="B50" s="29" t="s">
        <v>41</v>
      </c>
      <c r="C50" s="28" t="s">
        <v>1</v>
      </c>
      <c r="D50" s="28" t="s">
        <v>8</v>
      </c>
      <c r="E50" s="28" t="s">
        <v>51</v>
      </c>
      <c r="F50" s="28" t="s">
        <v>50</v>
      </c>
      <c r="G50" s="28" t="s">
        <v>54</v>
      </c>
      <c r="H50" s="28" t="s">
        <v>9</v>
      </c>
      <c r="I50" s="28" t="s">
        <v>10</v>
      </c>
      <c r="J50" s="28" t="s">
        <v>11</v>
      </c>
      <c r="K50" s="28" t="s">
        <v>12</v>
      </c>
      <c r="L50" s="28" t="s">
        <v>13</v>
      </c>
      <c r="M50" s="28" t="s">
        <v>14</v>
      </c>
      <c r="N50" s="28" t="s">
        <v>15</v>
      </c>
      <c r="O50" s="28" t="s">
        <v>16</v>
      </c>
      <c r="P50" s="28" t="s">
        <v>39</v>
      </c>
      <c r="Q50" s="41" t="s">
        <v>40</v>
      </c>
      <c r="R50" s="57" t="s">
        <v>59</v>
      </c>
      <c r="T50" s="55" t="s">
        <v>8</v>
      </c>
      <c r="V50" s="55"/>
    </row>
    <row r="51" spans="2:22">
      <c r="B51" s="31">
        <v>193878400</v>
      </c>
      <c r="C51" s="5" t="s">
        <v>3</v>
      </c>
      <c r="D51" s="5" t="s">
        <v>18</v>
      </c>
      <c r="E51" s="12">
        <v>9876544</v>
      </c>
      <c r="F51" s="15">
        <v>70000</v>
      </c>
      <c r="G51" s="39" t="s">
        <v>55</v>
      </c>
      <c r="H51" s="5">
        <v>81</v>
      </c>
      <c r="I51" s="5">
        <v>80</v>
      </c>
      <c r="J51" s="5">
        <v>82</v>
      </c>
      <c r="K51" s="18">
        <v>81</v>
      </c>
      <c r="L51" s="5">
        <v>81</v>
      </c>
      <c r="M51" s="5">
        <v>81</v>
      </c>
      <c r="N51" s="21">
        <v>81</v>
      </c>
      <c r="O51" s="5" t="s">
        <v>35</v>
      </c>
      <c r="P51" s="5" t="s">
        <v>64</v>
      </c>
      <c r="Q51" s="43" t="s">
        <v>65</v>
      </c>
      <c r="R51" s="6" t="s">
        <v>65</v>
      </c>
      <c r="T51" s="55" t="s">
        <v>18</v>
      </c>
      <c r="V51" s="55"/>
    </row>
    <row r="52" spans="2:22">
      <c r="B52" s="31">
        <v>244576280</v>
      </c>
      <c r="C52" s="5" t="s">
        <v>19</v>
      </c>
      <c r="D52" s="5" t="s">
        <v>18</v>
      </c>
      <c r="E52" s="12">
        <v>3252524</v>
      </c>
      <c r="F52" s="15">
        <v>44451</v>
      </c>
      <c r="G52" s="39" t="s">
        <v>0</v>
      </c>
      <c r="H52" s="5">
        <v>94</v>
      </c>
      <c r="I52" s="5">
        <v>100</v>
      </c>
      <c r="J52" s="5">
        <v>93</v>
      </c>
      <c r="K52" s="18">
        <v>95.666666666666671</v>
      </c>
      <c r="L52" s="5">
        <v>95</v>
      </c>
      <c r="M52" s="5">
        <v>100</v>
      </c>
      <c r="N52" s="21">
        <v>97</v>
      </c>
      <c r="O52" s="5" t="s">
        <v>36</v>
      </c>
      <c r="P52" s="5" t="s">
        <v>65</v>
      </c>
      <c r="Q52" s="43" t="s">
        <v>65</v>
      </c>
      <c r="R52" s="6" t="s">
        <v>65</v>
      </c>
    </row>
    <row r="53" spans="2:22">
      <c r="B53" s="31">
        <v>388923057</v>
      </c>
      <c r="C53" s="5" t="s">
        <v>5</v>
      </c>
      <c r="D53" s="5" t="s">
        <v>18</v>
      </c>
      <c r="E53" s="12">
        <v>8743644</v>
      </c>
      <c r="F53" s="15">
        <v>44141</v>
      </c>
      <c r="G53" s="39" t="s">
        <v>0</v>
      </c>
      <c r="H53" s="5">
        <v>60</v>
      </c>
      <c r="I53" s="5">
        <v>100</v>
      </c>
      <c r="J53" s="5">
        <v>80</v>
      </c>
      <c r="K53" s="18">
        <v>80</v>
      </c>
      <c r="L53" s="5">
        <v>40</v>
      </c>
      <c r="M53" s="5">
        <v>61</v>
      </c>
      <c r="N53" s="21">
        <v>60</v>
      </c>
      <c r="O53" s="5" t="s">
        <v>35</v>
      </c>
      <c r="P53" s="5" t="s">
        <v>64</v>
      </c>
      <c r="Q53" s="43" t="s">
        <v>65</v>
      </c>
      <c r="R53" s="6" t="s">
        <v>65</v>
      </c>
    </row>
    <row r="54" spans="2:22">
      <c r="B54" s="31">
        <v>658370843</v>
      </c>
      <c r="C54" s="5" t="s">
        <v>4</v>
      </c>
      <c r="D54" s="5" t="s">
        <v>18</v>
      </c>
      <c r="E54" s="12">
        <v>2118758</v>
      </c>
      <c r="F54" s="15">
        <v>55326</v>
      </c>
      <c r="G54" s="39" t="s">
        <v>55</v>
      </c>
      <c r="H54" s="5">
        <v>67</v>
      </c>
      <c r="I54" s="5">
        <v>99</v>
      </c>
      <c r="J54" s="5">
        <v>69</v>
      </c>
      <c r="K54" s="18">
        <v>78.333333333333329</v>
      </c>
      <c r="L54" s="5">
        <v>90</v>
      </c>
      <c r="M54" s="5">
        <v>85</v>
      </c>
      <c r="N54" s="21">
        <v>85</v>
      </c>
      <c r="O54" s="5" t="s">
        <v>36</v>
      </c>
      <c r="P54" s="5" t="s">
        <v>65</v>
      </c>
      <c r="Q54" s="43" t="s">
        <v>65</v>
      </c>
      <c r="R54" s="6" t="s">
        <v>65</v>
      </c>
    </row>
    <row r="55" spans="2:22">
      <c r="B55" s="31">
        <v>830998987</v>
      </c>
      <c r="C55" s="5" t="s">
        <v>5</v>
      </c>
      <c r="D55" s="5" t="s">
        <v>18</v>
      </c>
      <c r="E55" s="12">
        <v>3527439</v>
      </c>
      <c r="F55" s="15">
        <v>56324</v>
      </c>
      <c r="G55" s="39" t="s">
        <v>55</v>
      </c>
      <c r="H55" s="5">
        <v>80</v>
      </c>
      <c r="I55" s="5"/>
      <c r="J55" s="5">
        <v>87</v>
      </c>
      <c r="K55" s="18">
        <v>83.5</v>
      </c>
      <c r="L55" s="5">
        <v>90</v>
      </c>
      <c r="M55" s="5"/>
      <c r="N55" s="21">
        <v>44</v>
      </c>
      <c r="O55" s="5" t="s">
        <v>34</v>
      </c>
      <c r="P55" s="5" t="s">
        <v>64</v>
      </c>
      <c r="Q55" s="43" t="s">
        <v>65</v>
      </c>
      <c r="R55" s="6" t="s">
        <v>64</v>
      </c>
    </row>
    <row r="56" spans="2:22">
      <c r="B56" s="31">
        <v>983687692</v>
      </c>
      <c r="C56" s="5" t="s">
        <v>7</v>
      </c>
      <c r="D56" s="5" t="s">
        <v>18</v>
      </c>
      <c r="E56" s="12">
        <v>6347234</v>
      </c>
      <c r="F56" s="15">
        <v>55235</v>
      </c>
      <c r="G56" s="39" t="s">
        <v>0</v>
      </c>
      <c r="H56" s="5">
        <v>45</v>
      </c>
      <c r="I56" s="5">
        <v>60</v>
      </c>
      <c r="J56" s="5"/>
      <c r="K56" s="18">
        <v>52.5</v>
      </c>
      <c r="L56" s="5">
        <v>99</v>
      </c>
      <c r="M56" s="5">
        <v>94</v>
      </c>
      <c r="N56" s="21">
        <v>78</v>
      </c>
      <c r="O56" s="5" t="s">
        <v>35</v>
      </c>
      <c r="P56" s="5" t="s">
        <v>64</v>
      </c>
      <c r="Q56" s="43" t="s">
        <v>65</v>
      </c>
      <c r="R56" s="6" t="s">
        <v>65</v>
      </c>
    </row>
    <row r="57" spans="2:22" ht="13.5" thickBot="1"/>
    <row r="58" spans="2:22" ht="27" thickTop="1" thickBot="1">
      <c r="B58" s="29" t="s">
        <v>41</v>
      </c>
      <c r="C58" s="28" t="s">
        <v>1</v>
      </c>
      <c r="T58" s="55" t="s">
        <v>8</v>
      </c>
    </row>
    <row r="59" spans="2:22">
      <c r="B59" s="30">
        <v>123456789</v>
      </c>
      <c r="C59" s="9" t="s">
        <v>2</v>
      </c>
      <c r="T59" s="55" t="s">
        <v>17</v>
      </c>
    </row>
    <row r="60" spans="2:22">
      <c r="B60" s="31">
        <v>298754355</v>
      </c>
      <c r="C60" s="5" t="s">
        <v>6</v>
      </c>
    </row>
    <row r="61" spans="2:22">
      <c r="B61" s="31">
        <v>947465892</v>
      </c>
      <c r="C61" s="5" t="s">
        <v>19</v>
      </c>
    </row>
    <row r="62" spans="2:22" ht="13.5" thickBot="1">
      <c r="B62" s="32">
        <v>987654321</v>
      </c>
      <c r="C62" s="7" t="s">
        <v>42</v>
      </c>
    </row>
    <row r="63" spans="2:22" ht="14.25" thickTop="1" thickBot="1"/>
    <row r="64" spans="2:22" ht="14.25" thickTop="1" thickBot="1">
      <c r="B64" s="28" t="s">
        <v>1</v>
      </c>
      <c r="C64" s="28" t="s">
        <v>15</v>
      </c>
      <c r="T64" s="55" t="s">
        <v>8</v>
      </c>
      <c r="U64" t="s">
        <v>16</v>
      </c>
    </row>
    <row r="65" spans="2:21">
      <c r="B65" s="5" t="s">
        <v>19</v>
      </c>
      <c r="C65" s="21">
        <v>97</v>
      </c>
      <c r="T65" s="55" t="s">
        <v>18</v>
      </c>
      <c r="U65" s="55" t="s">
        <v>36</v>
      </c>
    </row>
    <row r="66" spans="2:21">
      <c r="B66" s="5" t="s">
        <v>4</v>
      </c>
      <c r="C66" s="21">
        <v>85</v>
      </c>
    </row>
    <row r="67" spans="2:21" ht="13.5" thickBot="1"/>
    <row r="68" spans="2:21" ht="14.25" thickTop="1" thickBot="1">
      <c r="B68" s="28" t="s">
        <v>1</v>
      </c>
      <c r="C68" s="28" t="s">
        <v>15</v>
      </c>
      <c r="T68" t="s">
        <v>15</v>
      </c>
    </row>
    <row r="69" spans="2:21">
      <c r="B69" s="9" t="s">
        <v>2</v>
      </c>
      <c r="C69" s="20">
        <v>89</v>
      </c>
      <c r="T69" s="55" t="s">
        <v>67</v>
      </c>
    </row>
    <row r="70" spans="2:21">
      <c r="B70" s="5" t="s">
        <v>19</v>
      </c>
      <c r="C70" s="21">
        <v>97</v>
      </c>
      <c r="T70" s="55" t="s">
        <v>68</v>
      </c>
    </row>
    <row r="71" spans="2:21">
      <c r="B71" s="5" t="s">
        <v>4</v>
      </c>
      <c r="C71" s="21">
        <v>85</v>
      </c>
    </row>
    <row r="72" spans="2:21">
      <c r="B72" s="5" t="s">
        <v>5</v>
      </c>
      <c r="C72" s="21">
        <v>44</v>
      </c>
    </row>
    <row r="73" spans="2:21" ht="13.5" thickBot="1"/>
    <row r="74" spans="2:21" ht="27" thickTop="1" thickBot="1">
      <c r="B74" s="28" t="s">
        <v>1</v>
      </c>
      <c r="C74" s="28" t="s">
        <v>14</v>
      </c>
      <c r="T74" s="28" t="s">
        <v>14</v>
      </c>
      <c r="U74" s="28" t="s">
        <v>14</v>
      </c>
    </row>
    <row r="75" spans="2:21">
      <c r="B75" s="9" t="s">
        <v>2</v>
      </c>
      <c r="C75" s="9">
        <v>80</v>
      </c>
      <c r="T75" s="55" t="s">
        <v>69</v>
      </c>
      <c r="U75" s="55" t="s">
        <v>70</v>
      </c>
    </row>
    <row r="76" spans="2:21">
      <c r="B76" s="5" t="s">
        <v>3</v>
      </c>
      <c r="C76" s="5">
        <v>81</v>
      </c>
    </row>
    <row r="77" spans="2:21">
      <c r="B77" s="5" t="s">
        <v>5</v>
      </c>
      <c r="C77" s="5">
        <v>61</v>
      </c>
    </row>
    <row r="78" spans="2:21">
      <c r="B78" s="5" t="s">
        <v>19</v>
      </c>
      <c r="C78" s="5">
        <v>65</v>
      </c>
    </row>
    <row r="79" spans="2:21" ht="13.5" thickBot="1"/>
    <row r="80" spans="2:21" ht="14.25" thickTop="1" thickBot="1">
      <c r="B80" s="28" t="s">
        <v>1</v>
      </c>
      <c r="T80" t="s">
        <v>1</v>
      </c>
    </row>
    <row r="81" spans="2:21">
      <c r="B81" s="5" t="s">
        <v>4</v>
      </c>
      <c r="T81" s="55" t="s">
        <v>71</v>
      </c>
    </row>
    <row r="82" spans="2:21" ht="13.5" thickBot="1">
      <c r="B82" s="7" t="s">
        <v>42</v>
      </c>
    </row>
    <row r="83" spans="2:21" ht="14.25" thickTop="1" thickBot="1"/>
    <row r="84" spans="2:21" ht="27" thickTop="1" thickBot="1">
      <c r="B84" s="28" t="s">
        <v>1</v>
      </c>
      <c r="C84" s="28" t="s">
        <v>8</v>
      </c>
      <c r="D84" s="28" t="s">
        <v>15</v>
      </c>
      <c r="T84" s="28" t="s">
        <v>8</v>
      </c>
      <c r="U84" s="28" t="s">
        <v>16</v>
      </c>
    </row>
    <row r="85" spans="2:21">
      <c r="B85" s="9" t="s">
        <v>2</v>
      </c>
      <c r="C85" s="9" t="s">
        <v>17</v>
      </c>
      <c r="D85" s="20">
        <v>89</v>
      </c>
      <c r="T85" s="55" t="s">
        <v>18</v>
      </c>
    </row>
    <row r="86" spans="2:21">
      <c r="B86" s="5" t="s">
        <v>3</v>
      </c>
      <c r="C86" s="5" t="s">
        <v>18</v>
      </c>
      <c r="D86" s="21">
        <v>81</v>
      </c>
      <c r="T86" s="55" t="s">
        <v>17</v>
      </c>
      <c r="U86" s="55" t="s">
        <v>36</v>
      </c>
    </row>
    <row r="87" spans="2:21">
      <c r="B87" s="5" t="s">
        <v>19</v>
      </c>
      <c r="C87" s="5" t="s">
        <v>18</v>
      </c>
      <c r="D87" s="21">
        <v>97</v>
      </c>
    </row>
    <row r="88" spans="2:21">
      <c r="B88" s="5" t="s">
        <v>5</v>
      </c>
      <c r="C88" s="5" t="s">
        <v>18</v>
      </c>
      <c r="D88" s="21">
        <v>60</v>
      </c>
    </row>
    <row r="89" spans="2:21">
      <c r="B89" s="5" t="s">
        <v>4</v>
      </c>
      <c r="C89" s="5" t="s">
        <v>18</v>
      </c>
      <c r="D89" s="21">
        <v>85</v>
      </c>
    </row>
    <row r="90" spans="2:21">
      <c r="B90" s="5" t="s">
        <v>5</v>
      </c>
      <c r="C90" s="5" t="s">
        <v>18</v>
      </c>
      <c r="D90" s="21">
        <v>44</v>
      </c>
    </row>
    <row r="91" spans="2:21">
      <c r="B91" s="5" t="s">
        <v>7</v>
      </c>
      <c r="C91" s="5" t="s">
        <v>18</v>
      </c>
      <c r="D91" s="21">
        <v>78</v>
      </c>
    </row>
    <row r="92" spans="2:21" ht="13.5" thickBot="1"/>
    <row r="93" spans="2:21" ht="14.25" thickTop="1" thickBot="1">
      <c r="B93" s="28" t="s">
        <v>1</v>
      </c>
      <c r="C93" s="28" t="s">
        <v>15</v>
      </c>
    </row>
    <row r="94" spans="2:21">
      <c r="B94" s="9" t="s">
        <v>2</v>
      </c>
      <c r="C94" s="20">
        <v>89</v>
      </c>
      <c r="T94" t="b">
        <f>N4&gt;$N$15</f>
        <v>1</v>
      </c>
    </row>
    <row r="95" spans="2:21">
      <c r="B95" s="5" t="s">
        <v>3</v>
      </c>
      <c r="C95" s="21">
        <v>81</v>
      </c>
    </row>
    <row r="96" spans="2:21">
      <c r="B96" s="5" t="s">
        <v>19</v>
      </c>
      <c r="C96" s="21">
        <v>97</v>
      </c>
    </row>
    <row r="97" spans="2:20">
      <c r="B97" s="5" t="s">
        <v>4</v>
      </c>
      <c r="C97" s="21">
        <v>85</v>
      </c>
    </row>
    <row r="98" spans="2:20">
      <c r="B98" s="5" t="s">
        <v>7</v>
      </c>
      <c r="C98" s="21">
        <v>78</v>
      </c>
    </row>
    <row r="99" spans="2:20" ht="13.5" thickBot="1">
      <c r="B99" s="7" t="s">
        <v>42</v>
      </c>
      <c r="C99" s="22">
        <v>76</v>
      </c>
    </row>
    <row r="100" spans="2:20" ht="14.25" thickTop="1" thickBot="1"/>
    <row r="101" spans="2:20" ht="27" thickTop="1" thickBot="1">
      <c r="B101" s="28" t="s">
        <v>1</v>
      </c>
      <c r="C101" s="28" t="s">
        <v>15</v>
      </c>
      <c r="T101" s="28" t="s">
        <v>15</v>
      </c>
    </row>
    <row r="102" spans="2:20">
      <c r="B102" s="9" t="s">
        <v>2</v>
      </c>
      <c r="C102" s="20">
        <v>89</v>
      </c>
      <c r="T102" s="55" t="str">
        <f>"&gt;"&amp;AVERAGE(N4:N13)</f>
        <v>&gt;74</v>
      </c>
    </row>
    <row r="103" spans="2:20">
      <c r="B103" s="5" t="s">
        <v>3</v>
      </c>
      <c r="C103" s="21">
        <v>81</v>
      </c>
    </row>
    <row r="104" spans="2:20">
      <c r="B104" s="5" t="s">
        <v>19</v>
      </c>
      <c r="C104" s="21">
        <v>97</v>
      </c>
    </row>
    <row r="105" spans="2:20">
      <c r="B105" s="5" t="s">
        <v>4</v>
      </c>
      <c r="C105" s="21">
        <v>85</v>
      </c>
    </row>
    <row r="106" spans="2:20">
      <c r="B106" s="5" t="s">
        <v>7</v>
      </c>
      <c r="C106" s="21">
        <v>78</v>
      </c>
    </row>
    <row r="107" spans="2:20" ht="13.5" thickBot="1">
      <c r="B107" s="7" t="s">
        <v>42</v>
      </c>
      <c r="C107" s="22">
        <v>76</v>
      </c>
    </row>
    <row r="108" spans="2:20" ht="14.25" thickTop="1" thickBot="1"/>
    <row r="109" spans="2:20" ht="14.25" thickTop="1" thickBot="1">
      <c r="B109" s="28" t="s">
        <v>54</v>
      </c>
    </row>
    <row r="110" spans="2:20">
      <c r="B110" s="38" t="s">
        <v>55</v>
      </c>
    </row>
    <row r="111" spans="2:20">
      <c r="B111" s="39" t="s">
        <v>0</v>
      </c>
    </row>
  </sheetData>
  <sortState ref="B4:R13">
    <sortCondition ref="B4:B13"/>
  </sortState>
  <mergeCells count="8">
    <mergeCell ref="A44:A46"/>
    <mergeCell ref="B44:C44"/>
    <mergeCell ref="A1:R1"/>
    <mergeCell ref="A3:A13"/>
    <mergeCell ref="T3:W3"/>
    <mergeCell ref="A15:A30"/>
    <mergeCell ref="A32:A37"/>
    <mergeCell ref="A39:A42"/>
  </mergeCells>
  <conditionalFormatting sqref="B4:B13">
    <cfRule type="duplicateValues" dxfId="6" priority="12"/>
  </conditionalFormatting>
  <conditionalFormatting sqref="N4:N13">
    <cfRule type="iconSet" priority="9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0">
      <iconSet iconSet="3Symbols2">
        <cfvo type="percent" val="0"/>
        <cfvo type="percent" val="33"/>
        <cfvo type="percent" val="67"/>
      </iconSet>
    </cfRule>
    <cfRule type="dataBar" priority="11">
      <dataBar>
        <cfvo type="min"/>
        <cfvo type="max"/>
        <color rgb="FF008AEF"/>
      </dataBar>
    </cfRule>
  </conditionalFormatting>
  <conditionalFormatting sqref="O4:O13">
    <cfRule type="cellIs" dxfId="5" priority="6" operator="equal">
      <formula>$B$40</formula>
    </cfRule>
    <cfRule type="cellIs" dxfId="4" priority="7" operator="equal">
      <formula>$B$41</formula>
    </cfRule>
    <cfRule type="cellIs" dxfId="3" priority="8" operator="equal">
      <formula>$B$42</formula>
    </cfRule>
  </conditionalFormatting>
  <conditionalFormatting sqref="B4:R13">
    <cfRule type="expression" dxfId="2" priority="5">
      <formula>$O4=$B$40</formula>
    </cfRule>
  </conditionalFormatting>
  <conditionalFormatting sqref="B8">
    <cfRule type="duplicateValues" dxfId="1" priority="4"/>
  </conditionalFormatting>
  <conditionalFormatting sqref="B8">
    <cfRule type="expression" dxfId="0" priority="3">
      <formula>$O8=$B$40</formula>
    </cfRule>
  </conditionalFormatting>
  <dataValidations count="2">
    <dataValidation type="whole" allowBlank="1" showInputMessage="1" showErrorMessage="1" sqref="H4:J13 L4:M13">
      <formula1>$C$40</formula1>
      <formula2>$D$42</formula2>
    </dataValidation>
    <dataValidation type="list" allowBlank="1" showInputMessage="1" showErrorMessage="1" errorTitle="שגיאת הקלדה" error="הערכים החוקיים הם:_x000a_ 'ז' עבור סטודנטים _x000a_ 'נ' עבור סטודנטיות" promptTitle="הזנת מגדר לסטודנטים" prompt="הקלד 'ז' עבור סטודנטים, ו- 'נ' עבור סטודנטיות" sqref="D4:D13">
      <formula1>$B$45:$B$46</formula1>
    </dataValidation>
  </dataValidations>
  <pageMargins left="0.75" right="0.75" top="1" bottom="1" header="0.5" footer="0.5"/>
  <pageSetup paperSize="9" orientation="portrait" horizontalDpi="36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1"/>
  <dimension ref="A1:S50"/>
  <sheetViews>
    <sheetView showGridLines="0" rightToLeft="1" workbookViewId="0">
      <pane xSplit="3" ySplit="2" topLeftCell="D3" activePane="bottomRight" state="frozen"/>
      <selection pane="topRight" activeCell="D1" sqref="D1"/>
      <selection pane="bottomLeft" activeCell="A6" sqref="A6"/>
      <selection pane="bottomRight" activeCell="D3" sqref="D3"/>
    </sheetView>
  </sheetViews>
  <sheetFormatPr defaultRowHeight="12.75"/>
  <cols>
    <col min="1" max="1" width="18.5703125" style="58" bestFit="1" customWidth="1"/>
    <col min="2" max="2" width="34.85546875" style="58" bestFit="1" customWidth="1"/>
    <col min="3" max="3" width="13.85546875" style="58" bestFit="1" customWidth="1"/>
    <col min="4" max="4" width="6.5703125" style="58" customWidth="1"/>
    <col min="5" max="5" width="9.28515625" style="58" bestFit="1" customWidth="1"/>
    <col min="6" max="6" width="12.85546875" style="58" bestFit="1" customWidth="1"/>
    <col min="7" max="7" width="7.42578125" style="58" customWidth="1"/>
    <col min="8" max="8" width="14.140625" style="58" bestFit="1" customWidth="1"/>
    <col min="9" max="9" width="8.5703125" style="58" customWidth="1"/>
    <col min="10" max="10" width="9.140625" style="58"/>
    <col min="11" max="11" width="16.42578125" style="58" bestFit="1" customWidth="1"/>
    <col min="12" max="12" width="9.5703125" style="58" bestFit="1" customWidth="1"/>
    <col min="13" max="13" width="7" style="58" customWidth="1"/>
    <col min="14" max="14" width="11.140625" style="58" bestFit="1" customWidth="1"/>
    <col min="15" max="15" width="12.42578125" style="58" bestFit="1" customWidth="1"/>
    <col min="16" max="16" width="8.42578125" style="58" customWidth="1"/>
    <col min="17" max="17" width="8.5703125" style="58" customWidth="1"/>
    <col min="18" max="18" width="13.7109375" style="58" bestFit="1" customWidth="1"/>
    <col min="19" max="16384" width="9.140625" style="58"/>
  </cols>
  <sheetData>
    <row r="1" spans="1:19">
      <c r="A1" s="63" t="s">
        <v>150</v>
      </c>
    </row>
    <row r="2" spans="1:19" s="89" customFormat="1" ht="29.25" customHeight="1">
      <c r="A2" s="87" t="s">
        <v>72</v>
      </c>
      <c r="B2" s="87" t="s">
        <v>73</v>
      </c>
      <c r="C2" s="87" t="s">
        <v>74</v>
      </c>
      <c r="D2" s="87" t="s">
        <v>75</v>
      </c>
      <c r="E2" s="87" t="s">
        <v>76</v>
      </c>
      <c r="F2" s="87" t="s">
        <v>77</v>
      </c>
      <c r="G2" s="87" t="s">
        <v>78</v>
      </c>
      <c r="H2" s="87" t="s">
        <v>79</v>
      </c>
      <c r="I2" s="87" t="s">
        <v>80</v>
      </c>
      <c r="J2" s="87" t="s">
        <v>81</v>
      </c>
      <c r="K2" s="88" t="s">
        <v>82</v>
      </c>
      <c r="L2" s="87" t="s">
        <v>83</v>
      </c>
      <c r="M2" s="87" t="s">
        <v>84</v>
      </c>
      <c r="N2" s="87" t="s">
        <v>85</v>
      </c>
      <c r="O2" s="87" t="s">
        <v>86</v>
      </c>
      <c r="P2" s="87" t="s">
        <v>87</v>
      </c>
      <c r="Q2" s="87" t="s">
        <v>88</v>
      </c>
      <c r="R2" s="87" t="s">
        <v>89</v>
      </c>
      <c r="S2" s="87" t="s">
        <v>158</v>
      </c>
    </row>
    <row r="3" spans="1:19">
      <c r="A3" s="59" t="s">
        <v>90</v>
      </c>
      <c r="B3" s="59" t="s">
        <v>91</v>
      </c>
      <c r="C3" s="66" t="s">
        <v>92</v>
      </c>
      <c r="D3" s="67">
        <v>0.49099999999999999</v>
      </c>
      <c r="E3" s="67">
        <v>0.13500000000000001</v>
      </c>
      <c r="F3" s="68">
        <v>2.64</v>
      </c>
      <c r="G3" s="68">
        <v>2.31</v>
      </c>
      <c r="H3" s="68">
        <v>0.39</v>
      </c>
      <c r="I3" s="68">
        <v>0.45</v>
      </c>
      <c r="J3" s="67">
        <v>0.70399999999999996</v>
      </c>
      <c r="K3" s="67">
        <v>6.6000000000000003E-2</v>
      </c>
      <c r="L3" s="69">
        <v>0</v>
      </c>
      <c r="M3" s="70">
        <v>0.93400000000000005</v>
      </c>
      <c r="N3" s="67">
        <v>0.94199999999999995</v>
      </c>
      <c r="O3" s="68">
        <v>0</v>
      </c>
      <c r="P3" s="67">
        <v>8.6999999999999994E-2</v>
      </c>
      <c r="Q3" s="69">
        <v>0.02</v>
      </c>
      <c r="R3" s="68">
        <v>101</v>
      </c>
      <c r="S3" s="78">
        <v>27371</v>
      </c>
    </row>
    <row r="4" spans="1:19">
      <c r="A4" s="61" t="s">
        <v>90</v>
      </c>
      <c r="B4" s="61" t="s">
        <v>93</v>
      </c>
      <c r="C4" s="71" t="s">
        <v>94</v>
      </c>
      <c r="D4" s="72">
        <v>0.35599999999999998</v>
      </c>
      <c r="E4" s="72">
        <v>0.126</v>
      </c>
      <c r="F4" s="73">
        <v>1.84</v>
      </c>
      <c r="G4" s="73">
        <v>1.78</v>
      </c>
      <c r="H4" s="73">
        <v>0.4</v>
      </c>
      <c r="I4" s="73">
        <v>0.53</v>
      </c>
      <c r="J4" s="72">
        <v>0.92100000000000004</v>
      </c>
      <c r="K4" s="72">
        <v>8.3000000000000004E-2</v>
      </c>
      <c r="L4" s="72">
        <v>0.76100000000000001</v>
      </c>
      <c r="M4" s="74">
        <v>0</v>
      </c>
      <c r="N4" s="75">
        <v>0</v>
      </c>
      <c r="O4" s="73">
        <v>84.7</v>
      </c>
      <c r="P4" s="72">
        <v>9.9000000000000005E-2</v>
      </c>
      <c r="Q4" s="72">
        <v>3.3000000000000002E-2</v>
      </c>
      <c r="R4" s="73">
        <v>43</v>
      </c>
      <c r="S4" s="79">
        <v>15905</v>
      </c>
    </row>
    <row r="5" spans="1:19">
      <c r="A5" s="59" t="s">
        <v>95</v>
      </c>
      <c r="B5" s="59" t="s">
        <v>96</v>
      </c>
      <c r="C5" s="66" t="s">
        <v>97</v>
      </c>
      <c r="D5" s="67">
        <v>0.32300000000000001</v>
      </c>
      <c r="E5" s="67">
        <v>0.121</v>
      </c>
      <c r="F5" s="68">
        <v>1.74</v>
      </c>
      <c r="G5" s="68">
        <v>1.39</v>
      </c>
      <c r="H5" s="68">
        <v>0.38</v>
      </c>
      <c r="I5" s="68">
        <v>0.65</v>
      </c>
      <c r="J5" s="67">
        <v>0.877</v>
      </c>
      <c r="K5" s="67">
        <v>0.185</v>
      </c>
      <c r="L5" s="67">
        <v>0.39500000000000002</v>
      </c>
      <c r="M5" s="70">
        <v>0.317</v>
      </c>
      <c r="N5" s="67">
        <v>0.308</v>
      </c>
      <c r="O5" s="68">
        <v>39.9</v>
      </c>
      <c r="P5" s="67">
        <v>7.6999999999999999E-2</v>
      </c>
      <c r="Q5" s="67">
        <v>2.4E-2</v>
      </c>
      <c r="R5" s="68">
        <v>163</v>
      </c>
      <c r="S5" s="78">
        <v>47604</v>
      </c>
    </row>
    <row r="6" spans="1:19">
      <c r="A6" s="61" t="s">
        <v>95</v>
      </c>
      <c r="B6" s="61" t="s">
        <v>98</v>
      </c>
      <c r="C6" s="71" t="s">
        <v>92</v>
      </c>
      <c r="D6" s="72">
        <v>0.39400000000000002</v>
      </c>
      <c r="E6" s="75">
        <v>0.11</v>
      </c>
      <c r="F6" s="73">
        <v>2.36</v>
      </c>
      <c r="G6" s="73">
        <v>1.78</v>
      </c>
      <c r="H6" s="73">
        <v>0.35</v>
      </c>
      <c r="I6" s="73">
        <v>0.47</v>
      </c>
      <c r="J6" s="72">
        <v>0.26500000000000001</v>
      </c>
      <c r="K6" s="72">
        <v>0.28699999999999998</v>
      </c>
      <c r="L6" s="72">
        <v>1.4E-2</v>
      </c>
      <c r="M6" s="76">
        <v>0.97199999999999998</v>
      </c>
      <c r="N6" s="72">
        <v>0.95499999999999996</v>
      </c>
      <c r="O6" s="73">
        <v>1.6</v>
      </c>
      <c r="P6" s="72">
        <v>2.5000000000000001E-2</v>
      </c>
      <c r="Q6" s="72">
        <v>-7.0000000000000001E-3</v>
      </c>
      <c r="R6" s="73">
        <v>92</v>
      </c>
      <c r="S6" s="79">
        <v>11433</v>
      </c>
    </row>
    <row r="7" spans="1:19">
      <c r="A7" s="59" t="s">
        <v>99</v>
      </c>
      <c r="B7" s="59" t="s">
        <v>100</v>
      </c>
      <c r="C7" s="66" t="s">
        <v>92</v>
      </c>
      <c r="D7" s="67">
        <v>0.31900000000000001</v>
      </c>
      <c r="E7" s="67">
        <v>9.9000000000000005E-2</v>
      </c>
      <c r="F7" s="68">
        <v>2.25</v>
      </c>
      <c r="G7" s="68">
        <v>1.78</v>
      </c>
      <c r="H7" s="68">
        <v>0.3</v>
      </c>
      <c r="I7" s="68">
        <v>0.42</v>
      </c>
      <c r="J7" s="67">
        <v>0.311</v>
      </c>
      <c r="K7" s="67">
        <v>7.9000000000000001E-2</v>
      </c>
      <c r="L7" s="69">
        <v>0</v>
      </c>
      <c r="M7" s="70">
        <v>0.93200000000000005</v>
      </c>
      <c r="N7" s="67">
        <v>0.89300000000000002</v>
      </c>
      <c r="O7" s="68">
        <v>0</v>
      </c>
      <c r="P7" s="67">
        <v>2.7E-2</v>
      </c>
      <c r="Q7" s="67">
        <v>-8.0000000000000002E-3</v>
      </c>
      <c r="R7" s="68">
        <v>113</v>
      </c>
      <c r="S7" s="78">
        <v>21883</v>
      </c>
    </row>
    <row r="8" spans="1:19">
      <c r="A8" s="61" t="s">
        <v>90</v>
      </c>
      <c r="B8" s="61" t="s">
        <v>101</v>
      </c>
      <c r="C8" s="71" t="s">
        <v>92</v>
      </c>
      <c r="D8" s="72">
        <v>0.27300000000000002</v>
      </c>
      <c r="E8" s="72">
        <v>9.4E-2</v>
      </c>
      <c r="F8" s="73">
        <v>3.07</v>
      </c>
      <c r="G8" s="73">
        <v>1.99</v>
      </c>
      <c r="H8" s="73">
        <v>0.19</v>
      </c>
      <c r="I8" s="73">
        <v>0.36</v>
      </c>
      <c r="J8" s="72">
        <v>0.14399999999999999</v>
      </c>
      <c r="K8" s="72">
        <v>4.9000000000000002E-2</v>
      </c>
      <c r="L8" s="75">
        <v>0</v>
      </c>
      <c r="M8" s="76">
        <v>0.95099999999999996</v>
      </c>
      <c r="N8" s="72">
        <v>0.95499999999999996</v>
      </c>
      <c r="O8" s="73">
        <v>0</v>
      </c>
      <c r="P8" s="72">
        <v>3.1E-2</v>
      </c>
      <c r="Q8" s="72">
        <v>-1.6E-2</v>
      </c>
      <c r="R8" s="73">
        <v>44</v>
      </c>
      <c r="S8" s="79">
        <v>19825</v>
      </c>
    </row>
    <row r="9" spans="1:19">
      <c r="A9" s="59" t="s">
        <v>90</v>
      </c>
      <c r="B9" s="59" t="s">
        <v>102</v>
      </c>
      <c r="C9" s="66" t="s">
        <v>97</v>
      </c>
      <c r="D9" s="67">
        <v>0.32500000000000001</v>
      </c>
      <c r="E9" s="67">
        <v>9.1999999999999998E-2</v>
      </c>
      <c r="F9" s="68">
        <v>1.3</v>
      </c>
      <c r="G9" s="68">
        <v>0.87</v>
      </c>
      <c r="H9" s="68">
        <v>0.51</v>
      </c>
      <c r="I9" s="68">
        <v>0.78</v>
      </c>
      <c r="J9" s="67">
        <v>0.33800000000000002</v>
      </c>
      <c r="K9" s="69">
        <v>0.22</v>
      </c>
      <c r="L9" s="67">
        <v>0.246</v>
      </c>
      <c r="M9" s="77">
        <v>0.35</v>
      </c>
      <c r="N9" s="67">
        <v>0.34799999999999998</v>
      </c>
      <c r="O9" s="68">
        <v>25.6</v>
      </c>
      <c r="P9" s="67">
        <v>3.1E-2</v>
      </c>
      <c r="Q9" s="69">
        <v>0</v>
      </c>
      <c r="R9" s="68">
        <v>18013</v>
      </c>
      <c r="S9" s="78">
        <v>9199</v>
      </c>
    </row>
    <row r="10" spans="1:19">
      <c r="A10" s="61" t="s">
        <v>95</v>
      </c>
      <c r="B10" s="61" t="s">
        <v>103</v>
      </c>
      <c r="C10" s="71" t="s">
        <v>97</v>
      </c>
      <c r="D10" s="72">
        <v>0.314</v>
      </c>
      <c r="E10" s="72">
        <v>8.3000000000000004E-2</v>
      </c>
      <c r="F10" s="73">
        <v>1.24</v>
      </c>
      <c r="G10" s="73">
        <v>0.84</v>
      </c>
      <c r="H10" s="73">
        <v>0.52</v>
      </c>
      <c r="I10" s="73">
        <v>0.73</v>
      </c>
      <c r="J10" s="75">
        <v>0.3</v>
      </c>
      <c r="K10" s="72">
        <v>0.24199999999999999</v>
      </c>
      <c r="L10" s="72">
        <v>0.26900000000000002</v>
      </c>
      <c r="M10" s="76">
        <v>0.39700000000000002</v>
      </c>
      <c r="N10" s="72">
        <v>0.378</v>
      </c>
      <c r="O10" s="73">
        <v>27.5</v>
      </c>
      <c r="P10" s="72">
        <v>2.3E-2</v>
      </c>
      <c r="Q10" s="72">
        <v>3.0000000000000001E-3</v>
      </c>
      <c r="R10" s="73">
        <v>88</v>
      </c>
      <c r="S10" s="79">
        <v>40696</v>
      </c>
    </row>
    <row r="11" spans="1:19">
      <c r="A11" s="59" t="s">
        <v>99</v>
      </c>
      <c r="B11" s="59" t="s">
        <v>104</v>
      </c>
      <c r="C11" s="66" t="s">
        <v>105</v>
      </c>
      <c r="D11" s="67">
        <v>0.27400000000000002</v>
      </c>
      <c r="E11" s="67">
        <v>7.6999999999999999E-2</v>
      </c>
      <c r="F11" s="68">
        <v>1.44</v>
      </c>
      <c r="G11" s="68">
        <v>1.1200000000000001</v>
      </c>
      <c r="H11" s="68">
        <v>0.39</v>
      </c>
      <c r="I11" s="68">
        <v>0.5</v>
      </c>
      <c r="J11" s="67">
        <v>0.14599999999999999</v>
      </c>
      <c r="K11" s="67">
        <v>0.161</v>
      </c>
      <c r="L11" s="67">
        <v>0.371</v>
      </c>
      <c r="M11" s="70">
        <v>0.46899999999999997</v>
      </c>
      <c r="N11" s="67">
        <v>0.44700000000000001</v>
      </c>
      <c r="O11" s="68">
        <v>36.9</v>
      </c>
      <c r="P11" s="67">
        <v>2.5999999999999999E-2</v>
      </c>
      <c r="Q11" s="67">
        <v>-2E-3</v>
      </c>
      <c r="R11" s="68">
        <v>105</v>
      </c>
      <c r="S11" s="78">
        <v>9755</v>
      </c>
    </row>
    <row r="12" spans="1:19">
      <c r="A12" s="61" t="s">
        <v>95</v>
      </c>
      <c r="B12" s="61" t="s">
        <v>106</v>
      </c>
      <c r="C12" s="71" t="s">
        <v>97</v>
      </c>
      <c r="D12" s="72">
        <v>0.309</v>
      </c>
      <c r="E12" s="72">
        <v>7.5999999999999998E-2</v>
      </c>
      <c r="F12" s="73">
        <v>1.32</v>
      </c>
      <c r="G12" s="73">
        <v>0.89</v>
      </c>
      <c r="H12" s="73">
        <v>0.48</v>
      </c>
      <c r="I12" s="73">
        <v>0.63</v>
      </c>
      <c r="J12" s="72">
        <v>0.24299999999999999</v>
      </c>
      <c r="K12" s="72">
        <v>0.32200000000000001</v>
      </c>
      <c r="L12" s="72">
        <v>0.33600000000000002</v>
      </c>
      <c r="M12" s="76">
        <v>0.39500000000000002</v>
      </c>
      <c r="N12" s="72">
        <v>0.39300000000000002</v>
      </c>
      <c r="O12" s="73">
        <v>33.5</v>
      </c>
      <c r="P12" s="72">
        <v>1.9E-2</v>
      </c>
      <c r="Q12" s="75">
        <v>0</v>
      </c>
      <c r="R12" s="73">
        <v>91</v>
      </c>
      <c r="S12" s="79">
        <v>20676</v>
      </c>
    </row>
    <row r="13" spans="1:19">
      <c r="A13" s="59" t="s">
        <v>107</v>
      </c>
      <c r="B13" s="59" t="s">
        <v>108</v>
      </c>
      <c r="C13" s="66" t="s">
        <v>105</v>
      </c>
      <c r="D13" s="67">
        <v>0.28899999999999998</v>
      </c>
      <c r="E13" s="67">
        <v>7.5999999999999998E-2</v>
      </c>
      <c r="F13" s="68">
        <v>1.1000000000000001</v>
      </c>
      <c r="G13" s="68">
        <v>0.93</v>
      </c>
      <c r="H13" s="68">
        <v>0.53</v>
      </c>
      <c r="I13" s="68">
        <v>0.6</v>
      </c>
      <c r="J13" s="67">
        <v>0.42799999999999999</v>
      </c>
      <c r="K13" s="67">
        <v>0.23200000000000001</v>
      </c>
      <c r="L13" s="67">
        <v>0.20599999999999999</v>
      </c>
      <c r="M13" s="70">
        <v>0.46400000000000002</v>
      </c>
      <c r="N13" s="67">
        <v>0.39800000000000002</v>
      </c>
      <c r="O13" s="68">
        <v>20.100000000000001</v>
      </c>
      <c r="P13" s="67">
        <v>1.9E-2</v>
      </c>
      <c r="Q13" s="69">
        <v>0</v>
      </c>
      <c r="R13" s="68">
        <v>17013</v>
      </c>
      <c r="S13" s="78">
        <v>18282</v>
      </c>
    </row>
    <row r="14" spans="1:19">
      <c r="A14" s="61" t="s">
        <v>90</v>
      </c>
      <c r="B14" s="61" t="s">
        <v>109</v>
      </c>
      <c r="C14" s="71" t="s">
        <v>110</v>
      </c>
      <c r="D14" s="72">
        <v>0.18</v>
      </c>
      <c r="E14" s="72">
        <v>7.2999999999999995E-2</v>
      </c>
      <c r="F14" s="73">
        <v>0.5</v>
      </c>
      <c r="G14" s="73">
        <v>0.48</v>
      </c>
      <c r="H14" s="73">
        <v>0.66</v>
      </c>
      <c r="I14" s="73">
        <v>1.1000000000000001</v>
      </c>
      <c r="J14" s="73" t="s">
        <v>111</v>
      </c>
      <c r="K14" s="75">
        <v>1</v>
      </c>
      <c r="L14" s="75">
        <v>0</v>
      </c>
      <c r="M14" s="71" t="s">
        <v>111</v>
      </c>
      <c r="N14" s="75">
        <v>0</v>
      </c>
      <c r="O14" s="73">
        <v>0</v>
      </c>
      <c r="P14" s="72">
        <v>2.4E-2</v>
      </c>
      <c r="Q14" s="72">
        <v>7.0000000000000001E-3</v>
      </c>
      <c r="R14" s="73">
        <v>180</v>
      </c>
      <c r="S14" s="79">
        <v>19322</v>
      </c>
    </row>
    <row r="15" spans="1:19">
      <c r="A15" s="59" t="s">
        <v>107</v>
      </c>
      <c r="B15" s="59" t="s">
        <v>112</v>
      </c>
      <c r="C15" s="66" t="s">
        <v>92</v>
      </c>
      <c r="D15" s="67">
        <v>0.34</v>
      </c>
      <c r="E15" s="67">
        <v>7.0999999999999994E-2</v>
      </c>
      <c r="F15" s="68">
        <v>2.0699999999999998</v>
      </c>
      <c r="G15" s="68">
        <v>1.8</v>
      </c>
      <c r="H15" s="68">
        <v>0.34</v>
      </c>
      <c r="I15" s="68">
        <v>0.28999999999999998</v>
      </c>
      <c r="J15" s="67">
        <v>0.61099999999999999</v>
      </c>
      <c r="K15" s="67">
        <v>3.5000000000000003E-2</v>
      </c>
      <c r="L15" s="69">
        <v>0</v>
      </c>
      <c r="M15" s="70">
        <v>0.96199999999999997</v>
      </c>
      <c r="N15" s="69">
        <v>0.94</v>
      </c>
      <c r="O15" s="68">
        <v>0</v>
      </c>
      <c r="P15" s="67">
        <v>1.2E-2</v>
      </c>
      <c r="Q15" s="67">
        <v>-1.7999999999999999E-2</v>
      </c>
      <c r="R15" s="68">
        <v>76</v>
      </c>
      <c r="S15" s="78">
        <v>9689</v>
      </c>
    </row>
    <row r="16" spans="1:19">
      <c r="A16" s="61" t="s">
        <v>107</v>
      </c>
      <c r="B16" s="61" t="s">
        <v>113</v>
      </c>
      <c r="C16" s="71" t="s">
        <v>105</v>
      </c>
      <c r="D16" s="72">
        <v>0.23100000000000001</v>
      </c>
      <c r="E16" s="75">
        <v>7.0000000000000007E-2</v>
      </c>
      <c r="F16" s="73">
        <v>1.2</v>
      </c>
      <c r="G16" s="73">
        <v>0.99</v>
      </c>
      <c r="H16" s="73">
        <v>0.38</v>
      </c>
      <c r="I16" s="73">
        <v>0.52</v>
      </c>
      <c r="J16" s="72">
        <v>0.46800000000000003</v>
      </c>
      <c r="K16" s="75">
        <v>0.22</v>
      </c>
      <c r="L16" s="72">
        <v>0.311</v>
      </c>
      <c r="M16" s="76">
        <v>0.436</v>
      </c>
      <c r="N16" s="72">
        <v>0.43099999999999999</v>
      </c>
      <c r="O16" s="73">
        <v>31.7</v>
      </c>
      <c r="P16" s="72">
        <v>2.4E-2</v>
      </c>
      <c r="Q16" s="72">
        <v>3.0000000000000001E-3</v>
      </c>
      <c r="R16" s="73">
        <v>185</v>
      </c>
      <c r="S16" s="79">
        <v>46809</v>
      </c>
    </row>
    <row r="17" spans="1:19">
      <c r="A17" s="59" t="s">
        <v>90</v>
      </c>
      <c r="B17" s="59" t="s">
        <v>114</v>
      </c>
      <c r="C17" s="66" t="s">
        <v>94</v>
      </c>
      <c r="D17" s="67">
        <v>0.216</v>
      </c>
      <c r="E17" s="69">
        <v>7.0000000000000007E-2</v>
      </c>
      <c r="F17" s="68">
        <v>0.59</v>
      </c>
      <c r="G17" s="68">
        <v>0.47</v>
      </c>
      <c r="H17" s="68">
        <v>0.71</v>
      </c>
      <c r="I17" s="68">
        <v>1.06</v>
      </c>
      <c r="J17" s="67">
        <v>3.4000000000000002E-2</v>
      </c>
      <c r="K17" s="67">
        <v>0.627</v>
      </c>
      <c r="L17" s="67">
        <v>0.30099999999999999</v>
      </c>
      <c r="M17" s="70">
        <v>2.1000000000000001E-2</v>
      </c>
      <c r="N17" s="67">
        <v>1.4999999999999999E-2</v>
      </c>
      <c r="O17" s="68">
        <v>30</v>
      </c>
      <c r="P17" s="67">
        <v>2.5000000000000001E-2</v>
      </c>
      <c r="Q17" s="67">
        <v>6.0000000000000001E-3</v>
      </c>
      <c r="R17" s="68">
        <v>40</v>
      </c>
      <c r="S17" s="78">
        <v>3709</v>
      </c>
    </row>
    <row r="18" spans="1:19">
      <c r="A18" s="61" t="s">
        <v>115</v>
      </c>
      <c r="B18" s="61" t="s">
        <v>116</v>
      </c>
      <c r="C18" s="71" t="s">
        <v>105</v>
      </c>
      <c r="D18" s="72">
        <v>0.28399999999999997</v>
      </c>
      <c r="E18" s="72">
        <v>6.9000000000000006E-2</v>
      </c>
      <c r="F18" s="73">
        <v>1.62</v>
      </c>
      <c r="G18" s="73">
        <v>1.1100000000000001</v>
      </c>
      <c r="H18" s="73">
        <v>0.36</v>
      </c>
      <c r="I18" s="73">
        <v>0.45</v>
      </c>
      <c r="J18" s="72">
        <v>0.374</v>
      </c>
      <c r="K18" s="72">
        <v>0.32800000000000001</v>
      </c>
      <c r="L18" s="72">
        <v>0.17899999999999999</v>
      </c>
      <c r="M18" s="76">
        <v>0.497</v>
      </c>
      <c r="N18" s="72">
        <v>0.47699999999999998</v>
      </c>
      <c r="O18" s="73">
        <v>18</v>
      </c>
      <c r="P18" s="72">
        <v>2.1000000000000001E-2</v>
      </c>
      <c r="Q18" s="72">
        <v>-7.0000000000000001E-3</v>
      </c>
      <c r="R18" s="73">
        <v>112</v>
      </c>
      <c r="S18" s="79">
        <v>23164</v>
      </c>
    </row>
    <row r="19" spans="1:19">
      <c r="A19" s="59" t="s">
        <v>99</v>
      </c>
      <c r="B19" s="59" t="s">
        <v>117</v>
      </c>
      <c r="C19" s="66" t="s">
        <v>97</v>
      </c>
      <c r="D19" s="67">
        <v>0.249</v>
      </c>
      <c r="E19" s="67">
        <v>6.8000000000000005E-2</v>
      </c>
      <c r="F19" s="68">
        <v>1.08</v>
      </c>
      <c r="G19" s="68">
        <v>0.8</v>
      </c>
      <c r="H19" s="68">
        <v>0.45</v>
      </c>
      <c r="I19" s="68">
        <v>0.61</v>
      </c>
      <c r="J19" s="67">
        <v>7.0999999999999994E-2</v>
      </c>
      <c r="K19" s="67">
        <v>0.34699999999999998</v>
      </c>
      <c r="L19" s="67">
        <v>0.374</v>
      </c>
      <c r="M19" s="70">
        <v>0.27900000000000003</v>
      </c>
      <c r="N19" s="67">
        <v>0.26500000000000001</v>
      </c>
      <c r="O19" s="68">
        <v>36.1</v>
      </c>
      <c r="P19" s="67">
        <v>2.1000000000000001E-2</v>
      </c>
      <c r="Q19" s="67">
        <v>-1E-3</v>
      </c>
      <c r="R19" s="68">
        <v>104</v>
      </c>
      <c r="S19" s="78">
        <v>35322</v>
      </c>
    </row>
    <row r="20" spans="1:19">
      <c r="A20" s="61" t="s">
        <v>90</v>
      </c>
      <c r="B20" s="61" t="s">
        <v>118</v>
      </c>
      <c r="C20" s="71" t="s">
        <v>97</v>
      </c>
      <c r="D20" s="72">
        <v>0.223</v>
      </c>
      <c r="E20" s="72">
        <v>6.8000000000000005E-2</v>
      </c>
      <c r="F20" s="73">
        <v>1.23</v>
      </c>
      <c r="G20" s="73">
        <v>0.93</v>
      </c>
      <c r="H20" s="73">
        <v>0.36</v>
      </c>
      <c r="I20" s="73">
        <v>0.53</v>
      </c>
      <c r="J20" s="72">
        <v>0.14399999999999999</v>
      </c>
      <c r="K20" s="72">
        <v>0.33400000000000002</v>
      </c>
      <c r="L20" s="75">
        <v>0.36</v>
      </c>
      <c r="M20" s="76">
        <v>0.30599999999999999</v>
      </c>
      <c r="N20" s="72">
        <v>0.32800000000000001</v>
      </c>
      <c r="O20" s="73">
        <v>34.1</v>
      </c>
      <c r="P20" s="72">
        <v>2.5999999999999999E-2</v>
      </c>
      <c r="Q20" s="72">
        <v>-1E-3</v>
      </c>
      <c r="R20" s="73">
        <v>184</v>
      </c>
      <c r="S20" s="79">
        <v>8737</v>
      </c>
    </row>
    <row r="21" spans="1:19">
      <c r="A21" s="59" t="s">
        <v>115</v>
      </c>
      <c r="B21" s="59" t="s">
        <v>119</v>
      </c>
      <c r="C21" s="66" t="s">
        <v>92</v>
      </c>
      <c r="D21" s="67">
        <v>0.34599999999999997</v>
      </c>
      <c r="E21" s="67">
        <v>6.7000000000000004E-2</v>
      </c>
      <c r="F21" s="68">
        <v>2.72</v>
      </c>
      <c r="G21" s="68">
        <v>1.96</v>
      </c>
      <c r="H21" s="68">
        <v>0.27</v>
      </c>
      <c r="I21" s="68">
        <v>0.26</v>
      </c>
      <c r="J21" s="69">
        <v>0.54</v>
      </c>
      <c r="K21" s="67">
        <v>8.5999999999999993E-2</v>
      </c>
      <c r="L21" s="67">
        <v>1E-3</v>
      </c>
      <c r="M21" s="70">
        <v>0.98299999999999998</v>
      </c>
      <c r="N21" s="67">
        <v>0.97099999999999997</v>
      </c>
      <c r="O21" s="68">
        <v>0.1</v>
      </c>
      <c r="P21" s="67">
        <v>8.9999999999999993E-3</v>
      </c>
      <c r="Q21" s="67">
        <v>-2.5000000000000001E-2</v>
      </c>
      <c r="R21" s="68">
        <v>136</v>
      </c>
      <c r="S21" s="78">
        <v>47348</v>
      </c>
    </row>
    <row r="22" spans="1:19">
      <c r="A22" s="61" t="s">
        <v>115</v>
      </c>
      <c r="B22" s="61" t="s">
        <v>120</v>
      </c>
      <c r="C22" s="71" t="s">
        <v>97</v>
      </c>
      <c r="D22" s="72">
        <v>0.25700000000000001</v>
      </c>
      <c r="E22" s="72">
        <v>6.7000000000000004E-2</v>
      </c>
      <c r="F22" s="73">
        <v>1.22</v>
      </c>
      <c r="G22" s="73">
        <v>0.82</v>
      </c>
      <c r="H22" s="73">
        <v>0.42</v>
      </c>
      <c r="I22" s="73">
        <v>0.6</v>
      </c>
      <c r="J22" s="72">
        <v>0.23899999999999999</v>
      </c>
      <c r="K22" s="72">
        <v>0.42099999999999999</v>
      </c>
      <c r="L22" s="72">
        <v>0.26500000000000001</v>
      </c>
      <c r="M22" s="76">
        <v>0.30299999999999999</v>
      </c>
      <c r="N22" s="72">
        <v>0.28399999999999997</v>
      </c>
      <c r="O22" s="73">
        <v>27.5</v>
      </c>
      <c r="P22" s="72">
        <v>2.4E-2</v>
      </c>
      <c r="Q22" s="72">
        <v>-1E-3</v>
      </c>
      <c r="R22" s="73">
        <v>111</v>
      </c>
      <c r="S22" s="79">
        <v>43238</v>
      </c>
    </row>
    <row r="23" spans="1:19">
      <c r="A23" s="59" t="s">
        <v>95</v>
      </c>
      <c r="B23" s="59" t="s">
        <v>121</v>
      </c>
      <c r="C23" s="66" t="s">
        <v>94</v>
      </c>
      <c r="D23" s="67">
        <v>4.3999999999999997E-2</v>
      </c>
      <c r="E23" s="67">
        <v>6.6000000000000003E-2</v>
      </c>
      <c r="F23" s="68">
        <v>1.6</v>
      </c>
      <c r="G23" s="68">
        <v>1.5</v>
      </c>
      <c r="H23" s="68">
        <v>0</v>
      </c>
      <c r="I23" s="68">
        <v>0.32</v>
      </c>
      <c r="J23" s="67">
        <v>0.17599999999999999</v>
      </c>
      <c r="K23" s="67">
        <v>0.80300000000000005</v>
      </c>
      <c r="L23" s="67">
        <v>6.3E-2</v>
      </c>
      <c r="M23" s="77">
        <v>0</v>
      </c>
      <c r="N23" s="69">
        <v>0</v>
      </c>
      <c r="O23" s="68">
        <v>7.4</v>
      </c>
      <c r="P23" s="67">
        <v>8.8999999999999996E-2</v>
      </c>
      <c r="Q23" s="67">
        <v>2.1000000000000001E-2</v>
      </c>
      <c r="R23" s="68">
        <v>95</v>
      </c>
      <c r="S23" s="78">
        <v>19938</v>
      </c>
    </row>
    <row r="24" spans="1:19">
      <c r="A24" s="61" t="s">
        <v>115</v>
      </c>
      <c r="B24" s="61" t="s">
        <v>122</v>
      </c>
      <c r="C24" s="71" t="s">
        <v>97</v>
      </c>
      <c r="D24" s="72">
        <v>0.23400000000000001</v>
      </c>
      <c r="E24" s="72">
        <v>6.6000000000000003E-2</v>
      </c>
      <c r="F24" s="73">
        <v>1.04</v>
      </c>
      <c r="G24" s="73">
        <v>0.72</v>
      </c>
      <c r="H24" s="73">
        <v>0.44</v>
      </c>
      <c r="I24" s="73">
        <v>0.67</v>
      </c>
      <c r="J24" s="72">
        <v>0.20499999999999999</v>
      </c>
      <c r="K24" s="72">
        <v>0.48399999999999999</v>
      </c>
      <c r="L24" s="72">
        <v>0.29199999999999998</v>
      </c>
      <c r="M24" s="76">
        <v>0.20399999999999999</v>
      </c>
      <c r="N24" s="72">
        <v>0.193</v>
      </c>
      <c r="O24" s="73">
        <v>30.9</v>
      </c>
      <c r="P24" s="72">
        <v>2.5999999999999999E-2</v>
      </c>
      <c r="Q24" s="72">
        <v>3.0000000000000001E-3</v>
      </c>
      <c r="R24" s="73">
        <v>110</v>
      </c>
      <c r="S24" s="79">
        <v>35339</v>
      </c>
    </row>
    <row r="25" spans="1:19">
      <c r="A25" s="59" t="s">
        <v>107</v>
      </c>
      <c r="B25" s="59" t="s">
        <v>123</v>
      </c>
      <c r="C25" s="66" t="s">
        <v>92</v>
      </c>
      <c r="D25" s="67">
        <v>0.29599999999999999</v>
      </c>
      <c r="E25" s="67">
        <v>6.6000000000000003E-2</v>
      </c>
      <c r="F25" s="68">
        <v>1.55</v>
      </c>
      <c r="G25" s="68">
        <v>1.29</v>
      </c>
      <c r="H25" s="68">
        <v>0.39</v>
      </c>
      <c r="I25" s="68">
        <v>0.37</v>
      </c>
      <c r="J25" s="67">
        <v>0.49099999999999999</v>
      </c>
      <c r="K25" s="67">
        <v>0.17599999999999999</v>
      </c>
      <c r="L25" s="67">
        <v>0.14299999999999999</v>
      </c>
      <c r="M25" s="70">
        <v>0.65200000000000002</v>
      </c>
      <c r="N25" s="67">
        <v>0.63800000000000001</v>
      </c>
      <c r="O25" s="68">
        <v>14.1</v>
      </c>
      <c r="P25" s="67">
        <v>1.2999999999999999E-2</v>
      </c>
      <c r="Q25" s="67">
        <v>-1.0999999999999999E-2</v>
      </c>
      <c r="R25" s="68">
        <v>75</v>
      </c>
      <c r="S25" s="78">
        <v>44784</v>
      </c>
    </row>
    <row r="26" spans="1:19">
      <c r="A26" s="61" t="s">
        <v>95</v>
      </c>
      <c r="B26" s="61" t="s">
        <v>124</v>
      </c>
      <c r="C26" s="71" t="s">
        <v>97</v>
      </c>
      <c r="D26" s="72">
        <v>0.25</v>
      </c>
      <c r="E26" s="72">
        <v>6.2E-2</v>
      </c>
      <c r="F26" s="73">
        <v>0.93</v>
      </c>
      <c r="G26" s="73">
        <v>0.59</v>
      </c>
      <c r="H26" s="73">
        <v>0.54</v>
      </c>
      <c r="I26" s="73">
        <v>0.75</v>
      </c>
      <c r="J26" s="72">
        <v>0.216</v>
      </c>
      <c r="K26" s="72">
        <v>0.42899999999999999</v>
      </c>
      <c r="L26" s="72">
        <v>0.26300000000000001</v>
      </c>
      <c r="M26" s="76">
        <v>0.215</v>
      </c>
      <c r="N26" s="72">
        <v>0.20499999999999999</v>
      </c>
      <c r="O26" s="73">
        <v>26.2</v>
      </c>
      <c r="P26" s="72">
        <v>1.6E-2</v>
      </c>
      <c r="Q26" s="72">
        <v>2E-3</v>
      </c>
      <c r="R26" s="73">
        <v>90</v>
      </c>
      <c r="S26" s="79">
        <v>18288</v>
      </c>
    </row>
    <row r="27" spans="1:19">
      <c r="A27" s="59" t="s">
        <v>115</v>
      </c>
      <c r="B27" s="59" t="s">
        <v>125</v>
      </c>
      <c r="C27" s="66" t="s">
        <v>94</v>
      </c>
      <c r="D27" s="67">
        <v>0.19900000000000001</v>
      </c>
      <c r="E27" s="69">
        <v>0.06</v>
      </c>
      <c r="F27" s="68">
        <v>0.75</v>
      </c>
      <c r="G27" s="68">
        <v>0.53</v>
      </c>
      <c r="H27" s="68">
        <v>0.51</v>
      </c>
      <c r="I27" s="68">
        <v>0.81</v>
      </c>
      <c r="J27" s="67">
        <v>0.10299999999999999</v>
      </c>
      <c r="K27" s="67">
        <v>0.621</v>
      </c>
      <c r="L27" s="67">
        <v>0.34499999999999997</v>
      </c>
      <c r="M27" s="77">
        <v>0</v>
      </c>
      <c r="N27" s="69">
        <v>0</v>
      </c>
      <c r="O27" s="68">
        <v>36.9</v>
      </c>
      <c r="P27" s="67">
        <v>2.1999999999999999E-2</v>
      </c>
      <c r="Q27" s="67">
        <v>7.0000000000000001E-3</v>
      </c>
      <c r="R27" s="68">
        <v>109</v>
      </c>
      <c r="S27" s="78">
        <v>11434</v>
      </c>
    </row>
    <row r="28" spans="1:19">
      <c r="A28" s="61" t="s">
        <v>90</v>
      </c>
      <c r="B28" s="61" t="s">
        <v>126</v>
      </c>
      <c r="C28" s="71" t="s">
        <v>94</v>
      </c>
      <c r="D28" s="72">
        <v>0.23899999999999999</v>
      </c>
      <c r="E28" s="72">
        <v>5.8999999999999997E-2</v>
      </c>
      <c r="F28" s="73">
        <v>0.98</v>
      </c>
      <c r="G28" s="73">
        <v>0.56999999999999995</v>
      </c>
      <c r="H28" s="73">
        <v>0.48</v>
      </c>
      <c r="I28" s="73">
        <v>0.74</v>
      </c>
      <c r="J28" s="72">
        <v>3.3000000000000002E-2</v>
      </c>
      <c r="K28" s="72">
        <v>0.48799999999999999</v>
      </c>
      <c r="L28" s="72">
        <v>0.41899999999999998</v>
      </c>
      <c r="M28" s="76">
        <v>2.1000000000000001E-2</v>
      </c>
      <c r="N28" s="72">
        <v>1.4999999999999999E-2</v>
      </c>
      <c r="O28" s="73">
        <v>43.6</v>
      </c>
      <c r="P28" s="72">
        <v>1.7000000000000001E-2</v>
      </c>
      <c r="Q28" s="72">
        <v>3.0000000000000001E-3</v>
      </c>
      <c r="R28" s="73">
        <v>42</v>
      </c>
      <c r="S28" s="79">
        <v>49889</v>
      </c>
    </row>
    <row r="29" spans="1:19">
      <c r="A29" s="59" t="s">
        <v>107</v>
      </c>
      <c r="B29" s="59" t="s">
        <v>127</v>
      </c>
      <c r="C29" s="66" t="s">
        <v>97</v>
      </c>
      <c r="D29" s="67">
        <v>0.25</v>
      </c>
      <c r="E29" s="67">
        <v>5.8999999999999997E-2</v>
      </c>
      <c r="F29" s="68">
        <v>0.99</v>
      </c>
      <c r="G29" s="68">
        <v>0.82</v>
      </c>
      <c r="H29" s="68">
        <v>0.51</v>
      </c>
      <c r="I29" s="68">
        <v>0.51</v>
      </c>
      <c r="J29" s="67">
        <v>0.33900000000000002</v>
      </c>
      <c r="K29" s="67">
        <v>0.313</v>
      </c>
      <c r="L29" s="67">
        <v>0.29299999999999998</v>
      </c>
      <c r="M29" s="70">
        <v>0.35099999999999998</v>
      </c>
      <c r="N29" s="67">
        <v>0.34399999999999997</v>
      </c>
      <c r="O29" s="68">
        <v>29.1</v>
      </c>
      <c r="P29" s="67">
        <v>1.4E-2</v>
      </c>
      <c r="Q29" s="67">
        <v>-4.0000000000000001E-3</v>
      </c>
      <c r="R29" s="68">
        <v>74</v>
      </c>
      <c r="S29" s="78">
        <v>17241</v>
      </c>
    </row>
    <row r="30" spans="1:19">
      <c r="A30" s="61" t="s">
        <v>107</v>
      </c>
      <c r="B30" s="61" t="s">
        <v>128</v>
      </c>
      <c r="C30" s="71" t="s">
        <v>97</v>
      </c>
      <c r="D30" s="72">
        <v>0.216</v>
      </c>
      <c r="E30" s="72">
        <v>5.8999999999999997E-2</v>
      </c>
      <c r="F30" s="73">
        <v>0.75</v>
      </c>
      <c r="G30" s="73">
        <v>0.61</v>
      </c>
      <c r="H30" s="73">
        <v>0.56000000000000005</v>
      </c>
      <c r="I30" s="73">
        <v>0.69</v>
      </c>
      <c r="J30" s="72">
        <v>0.224</v>
      </c>
      <c r="K30" s="72">
        <v>0.49299999999999999</v>
      </c>
      <c r="L30" s="72">
        <v>0.27700000000000002</v>
      </c>
      <c r="M30" s="76">
        <v>0.20100000000000001</v>
      </c>
      <c r="N30" s="72">
        <v>0.19600000000000001</v>
      </c>
      <c r="O30" s="73">
        <v>27.5</v>
      </c>
      <c r="P30" s="72">
        <v>1.7000000000000001E-2</v>
      </c>
      <c r="Q30" s="72">
        <v>1E-3</v>
      </c>
      <c r="R30" s="73">
        <v>70</v>
      </c>
      <c r="S30" s="79">
        <v>25447</v>
      </c>
    </row>
    <row r="31" spans="1:19">
      <c r="A31" s="59" t="s">
        <v>99</v>
      </c>
      <c r="B31" s="59" t="s">
        <v>129</v>
      </c>
      <c r="C31" s="66" t="s">
        <v>94</v>
      </c>
      <c r="D31" s="67">
        <v>0.214</v>
      </c>
      <c r="E31" s="67">
        <v>5.8000000000000003E-2</v>
      </c>
      <c r="F31" s="68">
        <v>0.83</v>
      </c>
      <c r="G31" s="68">
        <v>0.61</v>
      </c>
      <c r="H31" s="68">
        <v>0.49</v>
      </c>
      <c r="I31" s="68">
        <v>0.67</v>
      </c>
      <c r="J31" s="67">
        <v>3.2000000000000001E-2</v>
      </c>
      <c r="K31" s="67">
        <v>0.48899999999999999</v>
      </c>
      <c r="L31" s="67">
        <v>0.373</v>
      </c>
      <c r="M31" s="70">
        <v>0.13800000000000001</v>
      </c>
      <c r="N31" s="67">
        <v>0.13200000000000001</v>
      </c>
      <c r="O31" s="68">
        <v>36</v>
      </c>
      <c r="P31" s="67">
        <v>1.7000000000000001E-2</v>
      </c>
      <c r="Q31" s="67">
        <v>1E-3</v>
      </c>
      <c r="R31" s="68">
        <v>103</v>
      </c>
      <c r="S31" s="78">
        <v>16807</v>
      </c>
    </row>
    <row r="32" spans="1:19">
      <c r="A32" s="61" t="s">
        <v>115</v>
      </c>
      <c r="B32" s="61" t="s">
        <v>130</v>
      </c>
      <c r="C32" s="71" t="s">
        <v>94</v>
      </c>
      <c r="D32" s="72">
        <v>0.17100000000000001</v>
      </c>
      <c r="E32" s="72">
        <v>5.6000000000000001E-2</v>
      </c>
      <c r="F32" s="73">
        <v>0.46</v>
      </c>
      <c r="G32" s="73">
        <v>0.39</v>
      </c>
      <c r="H32" s="73">
        <v>0.67</v>
      </c>
      <c r="I32" s="73">
        <v>1</v>
      </c>
      <c r="J32" s="73" t="s">
        <v>111</v>
      </c>
      <c r="K32" s="72">
        <v>0.84099999999999997</v>
      </c>
      <c r="L32" s="72">
        <v>0.159</v>
      </c>
      <c r="M32" s="74">
        <v>0</v>
      </c>
      <c r="N32" s="75">
        <v>0</v>
      </c>
      <c r="O32" s="73">
        <v>15.6</v>
      </c>
      <c r="P32" s="72">
        <v>1.9E-2</v>
      </c>
      <c r="Q32" s="72">
        <v>6.0000000000000001E-3</v>
      </c>
      <c r="R32" s="73">
        <v>132</v>
      </c>
      <c r="S32" s="79">
        <v>35752</v>
      </c>
    </row>
    <row r="33" spans="1:19">
      <c r="A33" s="59" t="s">
        <v>95</v>
      </c>
      <c r="B33" s="59" t="s">
        <v>131</v>
      </c>
      <c r="C33" s="66" t="s">
        <v>94</v>
      </c>
      <c r="D33" s="67">
        <v>0.187</v>
      </c>
      <c r="E33" s="67">
        <v>5.2999999999999999E-2</v>
      </c>
      <c r="F33" s="68">
        <v>0.49</v>
      </c>
      <c r="G33" s="68">
        <v>0.36</v>
      </c>
      <c r="H33" s="68">
        <v>0.71</v>
      </c>
      <c r="I33" s="68">
        <v>1.03</v>
      </c>
      <c r="J33" s="69">
        <v>0</v>
      </c>
      <c r="K33" s="69">
        <v>0.76</v>
      </c>
      <c r="L33" s="69">
        <v>0.21</v>
      </c>
      <c r="M33" s="77">
        <v>0</v>
      </c>
      <c r="N33" s="69">
        <v>0</v>
      </c>
      <c r="O33" s="68">
        <v>20.6</v>
      </c>
      <c r="P33" s="67">
        <v>1.6E-2</v>
      </c>
      <c r="Q33" s="67">
        <v>4.0000000000000001E-3</v>
      </c>
      <c r="R33" s="68">
        <v>93</v>
      </c>
      <c r="S33" s="78">
        <v>29518</v>
      </c>
    </row>
    <row r="34" spans="1:19">
      <c r="A34" s="61" t="s">
        <v>99</v>
      </c>
      <c r="B34" s="61" t="s">
        <v>132</v>
      </c>
      <c r="C34" s="71" t="s">
        <v>94</v>
      </c>
      <c r="D34" s="72">
        <v>0.19700000000000001</v>
      </c>
      <c r="E34" s="72">
        <v>5.1999999999999998E-2</v>
      </c>
      <c r="F34" s="73">
        <v>0.67</v>
      </c>
      <c r="G34" s="73">
        <v>0.5</v>
      </c>
      <c r="H34" s="73">
        <v>0.55000000000000004</v>
      </c>
      <c r="I34" s="73">
        <v>0.74</v>
      </c>
      <c r="J34" s="72">
        <v>5.0000000000000001E-3</v>
      </c>
      <c r="K34" s="72">
        <v>0.58099999999999996</v>
      </c>
      <c r="L34" s="72">
        <v>0.41899999999999998</v>
      </c>
      <c r="M34" s="74">
        <v>0</v>
      </c>
      <c r="N34" s="75">
        <v>0</v>
      </c>
      <c r="O34" s="73">
        <v>39.4</v>
      </c>
      <c r="P34" s="72">
        <v>1.4E-2</v>
      </c>
      <c r="Q34" s="72">
        <v>3.0000000000000001E-3</v>
      </c>
      <c r="R34" s="73">
        <v>102</v>
      </c>
      <c r="S34" s="79">
        <v>11976</v>
      </c>
    </row>
    <row r="35" spans="1:19">
      <c r="A35" s="59" t="s">
        <v>107</v>
      </c>
      <c r="B35" s="59" t="s">
        <v>133</v>
      </c>
      <c r="C35" s="66" t="s">
        <v>94</v>
      </c>
      <c r="D35" s="67">
        <v>0.189</v>
      </c>
      <c r="E35" s="67">
        <v>5.1999999999999998E-2</v>
      </c>
      <c r="F35" s="68">
        <v>0.6</v>
      </c>
      <c r="G35" s="68">
        <v>0.48</v>
      </c>
      <c r="H35" s="68">
        <v>0.57999999999999996</v>
      </c>
      <c r="I35" s="68">
        <v>0.77</v>
      </c>
      <c r="J35" s="67">
        <v>0.11799999999999999</v>
      </c>
      <c r="K35" s="67">
        <v>0.60099999999999998</v>
      </c>
      <c r="L35" s="67">
        <v>0.27900000000000003</v>
      </c>
      <c r="M35" s="70">
        <v>0.10100000000000001</v>
      </c>
      <c r="N35" s="67">
        <v>9.8000000000000004E-2</v>
      </c>
      <c r="O35" s="68">
        <v>28</v>
      </c>
      <c r="P35" s="67">
        <v>1.7000000000000001E-2</v>
      </c>
      <c r="Q35" s="67">
        <v>3.0000000000000001E-3</v>
      </c>
      <c r="R35" s="68">
        <v>69</v>
      </c>
      <c r="S35" s="78">
        <v>47495</v>
      </c>
    </row>
    <row r="36" spans="1:19">
      <c r="A36" s="61" t="s">
        <v>95</v>
      </c>
      <c r="B36" s="61" t="s">
        <v>134</v>
      </c>
      <c r="C36" s="71" t="s">
        <v>94</v>
      </c>
      <c r="D36" s="72">
        <v>0.249</v>
      </c>
      <c r="E36" s="72">
        <v>5.0999999999999997E-2</v>
      </c>
      <c r="F36" s="73">
        <v>1.1399999999999999</v>
      </c>
      <c r="G36" s="73">
        <v>0.52</v>
      </c>
      <c r="H36" s="73">
        <v>0.44</v>
      </c>
      <c r="I36" s="73">
        <v>0.69</v>
      </c>
      <c r="J36" s="72">
        <v>0.38100000000000001</v>
      </c>
      <c r="K36" s="72">
        <v>7.0999999999999994E-2</v>
      </c>
      <c r="L36" s="72">
        <v>0.71699999999999997</v>
      </c>
      <c r="M36" s="74">
        <v>0</v>
      </c>
      <c r="N36" s="75">
        <v>0</v>
      </c>
      <c r="O36" s="73">
        <v>70.2</v>
      </c>
      <c r="P36" s="72">
        <v>7.0000000000000001E-3</v>
      </c>
      <c r="Q36" s="72">
        <v>3.0000000000000001E-3</v>
      </c>
      <c r="R36" s="73">
        <v>178</v>
      </c>
      <c r="S36" s="79">
        <v>36341</v>
      </c>
    </row>
    <row r="37" spans="1:19">
      <c r="A37" s="59" t="s">
        <v>107</v>
      </c>
      <c r="B37" s="59" t="s">
        <v>135</v>
      </c>
      <c r="C37" s="66" t="s">
        <v>94</v>
      </c>
      <c r="D37" s="67">
        <v>0.156</v>
      </c>
      <c r="E37" s="67">
        <v>4.8000000000000001E-2</v>
      </c>
      <c r="F37" s="68">
        <v>0.49</v>
      </c>
      <c r="G37" s="68">
        <v>0.42</v>
      </c>
      <c r="H37" s="68">
        <v>0.55000000000000004</v>
      </c>
      <c r="I37" s="68">
        <v>0.79</v>
      </c>
      <c r="J37" s="69">
        <v>0.04</v>
      </c>
      <c r="K37" s="69">
        <v>0.68</v>
      </c>
      <c r="L37" s="69">
        <v>0.32</v>
      </c>
      <c r="M37" s="77">
        <v>0</v>
      </c>
      <c r="N37" s="69">
        <v>0</v>
      </c>
      <c r="O37" s="68">
        <v>32.1</v>
      </c>
      <c r="P37" s="67">
        <v>1.9E-2</v>
      </c>
      <c r="Q37" s="67">
        <v>6.0000000000000001E-3</v>
      </c>
      <c r="R37" s="68">
        <v>68</v>
      </c>
      <c r="S37" s="78">
        <v>29627</v>
      </c>
    </row>
    <row r="38" spans="1:19">
      <c r="A38" s="61" t="s">
        <v>90</v>
      </c>
      <c r="B38" s="61" t="s">
        <v>136</v>
      </c>
      <c r="C38" s="71" t="s">
        <v>110</v>
      </c>
      <c r="D38" s="72">
        <v>0.15</v>
      </c>
      <c r="E38" s="72">
        <v>4.4999999999999998E-2</v>
      </c>
      <c r="F38" s="73">
        <v>0.63</v>
      </c>
      <c r="G38" s="73">
        <v>0.5</v>
      </c>
      <c r="H38" s="73">
        <v>0.41</v>
      </c>
      <c r="I38" s="73">
        <v>0.62</v>
      </c>
      <c r="J38" s="73" t="s">
        <v>111</v>
      </c>
      <c r="K38" s="75">
        <v>1</v>
      </c>
      <c r="L38" s="75">
        <v>0</v>
      </c>
      <c r="M38" s="71" t="s">
        <v>111</v>
      </c>
      <c r="N38" s="75">
        <v>0</v>
      </c>
      <c r="O38" s="73">
        <v>0</v>
      </c>
      <c r="P38" s="72">
        <v>1.4E-2</v>
      </c>
      <c r="Q38" s="72">
        <v>4.0000000000000001E-3</v>
      </c>
      <c r="R38" s="73">
        <v>181</v>
      </c>
      <c r="S38" s="79">
        <v>21676</v>
      </c>
    </row>
    <row r="39" spans="1:19">
      <c r="A39" s="59" t="s">
        <v>95</v>
      </c>
      <c r="B39" s="59" t="s">
        <v>137</v>
      </c>
      <c r="C39" s="66" t="s">
        <v>94</v>
      </c>
      <c r="D39" s="67">
        <v>0.19400000000000001</v>
      </c>
      <c r="E39" s="67">
        <v>4.1000000000000002E-2</v>
      </c>
      <c r="F39" s="68">
        <v>0.73</v>
      </c>
      <c r="G39" s="68">
        <v>0.41</v>
      </c>
      <c r="H39" s="68">
        <v>0.51</v>
      </c>
      <c r="I39" s="68">
        <v>0.66</v>
      </c>
      <c r="J39" s="67">
        <v>0.17799999999999999</v>
      </c>
      <c r="K39" s="67">
        <v>0.52700000000000002</v>
      </c>
      <c r="L39" s="67">
        <v>0.318</v>
      </c>
      <c r="M39" s="70">
        <v>5.0000000000000001E-3</v>
      </c>
      <c r="N39" s="67">
        <v>3.0000000000000001E-3</v>
      </c>
      <c r="O39" s="68">
        <v>31.8</v>
      </c>
      <c r="P39" s="67">
        <v>8.0000000000000002E-3</v>
      </c>
      <c r="Q39" s="67">
        <v>1E-3</v>
      </c>
      <c r="R39" s="68">
        <v>89</v>
      </c>
      <c r="S39" s="78">
        <v>1514</v>
      </c>
    </row>
    <row r="40" spans="1:19">
      <c r="A40" s="61" t="s">
        <v>115</v>
      </c>
      <c r="B40" s="61" t="s">
        <v>138</v>
      </c>
      <c r="C40" s="71" t="s">
        <v>94</v>
      </c>
      <c r="D40" s="72">
        <v>0.18099999999999999</v>
      </c>
      <c r="E40" s="72">
        <v>3.9E-2</v>
      </c>
      <c r="F40" s="73">
        <v>0.96</v>
      </c>
      <c r="G40" s="73">
        <v>0.52</v>
      </c>
      <c r="H40" s="73">
        <v>0.35</v>
      </c>
      <c r="I40" s="73">
        <v>0.5</v>
      </c>
      <c r="J40" s="72">
        <v>5.8000000000000003E-2</v>
      </c>
      <c r="K40" s="72">
        <v>0.42699999999999999</v>
      </c>
      <c r="L40" s="72">
        <v>0.56499999999999995</v>
      </c>
      <c r="M40" s="74">
        <v>0</v>
      </c>
      <c r="N40" s="75">
        <v>0</v>
      </c>
      <c r="O40" s="73">
        <v>54.2</v>
      </c>
      <c r="P40" s="72">
        <v>8.9999999999999993E-3</v>
      </c>
      <c r="Q40" s="72">
        <v>1E-3</v>
      </c>
      <c r="R40" s="73">
        <v>133</v>
      </c>
      <c r="S40" s="79">
        <v>20599</v>
      </c>
    </row>
    <row r="41" spans="1:19">
      <c r="A41" s="59" t="s">
        <v>95</v>
      </c>
      <c r="B41" s="59" t="s">
        <v>139</v>
      </c>
      <c r="C41" s="66" t="s">
        <v>94</v>
      </c>
      <c r="D41" s="67">
        <v>0.16</v>
      </c>
      <c r="E41" s="67">
        <v>2.5000000000000001E-2</v>
      </c>
      <c r="F41" s="68">
        <v>0.74</v>
      </c>
      <c r="G41" s="68">
        <v>0.53</v>
      </c>
      <c r="H41" s="68">
        <v>0.39</v>
      </c>
      <c r="I41" s="68">
        <v>0.26</v>
      </c>
      <c r="J41" s="69">
        <v>0</v>
      </c>
      <c r="K41" s="67">
        <v>0.65800000000000003</v>
      </c>
      <c r="L41" s="67">
        <v>0.25700000000000001</v>
      </c>
      <c r="M41" s="77">
        <v>0</v>
      </c>
      <c r="N41" s="69">
        <v>0</v>
      </c>
      <c r="O41" s="68">
        <v>26.6</v>
      </c>
      <c r="P41" s="67">
        <v>3.0000000000000001E-3</v>
      </c>
      <c r="Q41" s="67">
        <v>-3.0000000000000001E-3</v>
      </c>
      <c r="R41" s="68">
        <v>94</v>
      </c>
      <c r="S41" s="78">
        <v>26648</v>
      </c>
    </row>
    <row r="42" spans="1:19">
      <c r="A42" s="61" t="s">
        <v>95</v>
      </c>
      <c r="B42" s="61" t="s">
        <v>140</v>
      </c>
      <c r="C42" s="71" t="s">
        <v>110</v>
      </c>
      <c r="D42" s="72">
        <v>0.127</v>
      </c>
      <c r="E42" s="72">
        <v>2.4E-2</v>
      </c>
      <c r="F42" s="73">
        <v>0.46</v>
      </c>
      <c r="G42" s="73">
        <v>0.35</v>
      </c>
      <c r="H42" s="73">
        <v>0.43</v>
      </c>
      <c r="I42" s="73">
        <v>0.4</v>
      </c>
      <c r="J42" s="73" t="s">
        <v>111</v>
      </c>
      <c r="K42" s="72">
        <v>1.0069999999999999</v>
      </c>
      <c r="L42" s="75">
        <v>0</v>
      </c>
      <c r="M42" s="74">
        <v>0</v>
      </c>
      <c r="N42" s="75">
        <v>0</v>
      </c>
      <c r="O42" s="73">
        <v>0</v>
      </c>
      <c r="P42" s="72">
        <v>4.0000000000000001E-3</v>
      </c>
      <c r="Q42" s="72">
        <v>-2E-3</v>
      </c>
      <c r="R42" s="73">
        <v>177</v>
      </c>
      <c r="S42" s="79">
        <v>26477</v>
      </c>
    </row>
    <row r="43" spans="1:19">
      <c r="A43" s="59" t="s">
        <v>95</v>
      </c>
      <c r="B43" s="59" t="s">
        <v>141</v>
      </c>
      <c r="C43" s="66" t="s">
        <v>110</v>
      </c>
      <c r="D43" s="67">
        <v>5.8000000000000003E-2</v>
      </c>
      <c r="E43" s="67">
        <v>1.0999999999999999E-2</v>
      </c>
      <c r="F43" s="68">
        <v>0.09</v>
      </c>
      <c r="G43" s="68">
        <v>0.05</v>
      </c>
      <c r="H43" s="68">
        <v>0.33</v>
      </c>
      <c r="I43" s="68">
        <v>0.6</v>
      </c>
      <c r="J43" s="68" t="s">
        <v>111</v>
      </c>
      <c r="K43" s="67">
        <v>0.98099999999999998</v>
      </c>
      <c r="L43" s="69">
        <v>0</v>
      </c>
      <c r="M43" s="77">
        <v>0</v>
      </c>
      <c r="N43" s="69">
        <v>0</v>
      </c>
      <c r="O43" s="68">
        <v>0</v>
      </c>
      <c r="P43" s="67">
        <v>3.0000000000000001E-3</v>
      </c>
      <c r="Q43" s="69">
        <v>0</v>
      </c>
      <c r="R43" s="68">
        <v>162</v>
      </c>
      <c r="S43" s="78">
        <v>33820</v>
      </c>
    </row>
    <row r="44" spans="1:19">
      <c r="A44" s="61" t="s">
        <v>99</v>
      </c>
      <c r="B44" s="61" t="s">
        <v>142</v>
      </c>
      <c r="C44" s="71" t="s">
        <v>110</v>
      </c>
      <c r="D44" s="72">
        <v>0.06</v>
      </c>
      <c r="E44" s="72">
        <v>1.0999999999999999E-2</v>
      </c>
      <c r="F44" s="73">
        <v>0.1</v>
      </c>
      <c r="G44" s="73">
        <v>0.06</v>
      </c>
      <c r="H44" s="73">
        <v>0.3</v>
      </c>
      <c r="I44" s="73">
        <v>0.5</v>
      </c>
      <c r="J44" s="73" t="s">
        <v>111</v>
      </c>
      <c r="K44" s="75">
        <v>1</v>
      </c>
      <c r="L44" s="75">
        <v>0</v>
      </c>
      <c r="M44" s="74">
        <v>0</v>
      </c>
      <c r="N44" s="75">
        <v>0</v>
      </c>
      <c r="O44" s="73">
        <v>0</v>
      </c>
      <c r="P44" s="72">
        <v>3.0000000000000001E-3</v>
      </c>
      <c r="Q44" s="75">
        <v>0</v>
      </c>
      <c r="R44" s="73">
        <v>129</v>
      </c>
      <c r="S44" s="79">
        <v>6693</v>
      </c>
    </row>
    <row r="45" spans="1:19">
      <c r="A45" s="59" t="s">
        <v>90</v>
      </c>
      <c r="B45" s="59" t="s">
        <v>143</v>
      </c>
      <c r="C45" s="66" t="s">
        <v>110</v>
      </c>
      <c r="D45" s="67">
        <v>5.8000000000000003E-2</v>
      </c>
      <c r="E45" s="69">
        <v>0.01</v>
      </c>
      <c r="F45" s="68">
        <v>0.09</v>
      </c>
      <c r="G45" s="68">
        <v>0.06</v>
      </c>
      <c r="H45" s="68">
        <v>0.33</v>
      </c>
      <c r="I45" s="68">
        <v>0.33</v>
      </c>
      <c r="J45" s="68" t="s">
        <v>111</v>
      </c>
      <c r="K45" s="69">
        <v>0.96</v>
      </c>
      <c r="L45" s="69">
        <v>0.04</v>
      </c>
      <c r="M45" s="66" t="s">
        <v>111</v>
      </c>
      <c r="N45" s="69">
        <v>0</v>
      </c>
      <c r="O45" s="68">
        <v>7.6</v>
      </c>
      <c r="P45" s="67">
        <v>2E-3</v>
      </c>
      <c r="Q45" s="69">
        <v>0</v>
      </c>
      <c r="R45" s="68">
        <v>41</v>
      </c>
      <c r="S45" s="78">
        <v>34254</v>
      </c>
    </row>
    <row r="46" spans="1:19">
      <c r="A46" s="61" t="s">
        <v>99</v>
      </c>
      <c r="B46" s="61" t="s">
        <v>144</v>
      </c>
      <c r="C46" s="62"/>
      <c r="D46" s="72" t="s">
        <v>145</v>
      </c>
      <c r="E46" s="73" t="s">
        <v>145</v>
      </c>
      <c r="F46" s="73">
        <v>0</v>
      </c>
      <c r="G46" s="73" t="s">
        <v>145</v>
      </c>
      <c r="H46" s="73" t="s">
        <v>145</v>
      </c>
      <c r="I46" s="73" t="s">
        <v>145</v>
      </c>
      <c r="J46" s="73" t="s">
        <v>111</v>
      </c>
      <c r="K46" s="75">
        <v>0</v>
      </c>
      <c r="L46" s="75">
        <v>0</v>
      </c>
      <c r="M46" s="71" t="s">
        <v>111</v>
      </c>
      <c r="N46" s="75">
        <v>0</v>
      </c>
      <c r="O46" s="73">
        <v>0</v>
      </c>
      <c r="P46" s="73" t="s">
        <v>145</v>
      </c>
      <c r="Q46" s="73" t="s">
        <v>145</v>
      </c>
      <c r="R46" s="73">
        <v>106</v>
      </c>
      <c r="S46" s="79">
        <v>45233</v>
      </c>
    </row>
    <row r="47" spans="1:19">
      <c r="A47" s="59" t="s">
        <v>99</v>
      </c>
      <c r="B47" s="59" t="s">
        <v>146</v>
      </c>
      <c r="C47" s="60"/>
      <c r="D47" s="67" t="s">
        <v>145</v>
      </c>
      <c r="E47" s="68" t="s">
        <v>145</v>
      </c>
      <c r="F47" s="68">
        <v>0</v>
      </c>
      <c r="G47" s="68" t="s">
        <v>145</v>
      </c>
      <c r="H47" s="68" t="s">
        <v>145</v>
      </c>
      <c r="I47" s="68" t="s">
        <v>145</v>
      </c>
      <c r="J47" s="68" t="s">
        <v>111</v>
      </c>
      <c r="K47" s="69">
        <v>0</v>
      </c>
      <c r="L47" s="69">
        <v>0</v>
      </c>
      <c r="M47" s="66" t="s">
        <v>111</v>
      </c>
      <c r="N47" s="69">
        <v>0</v>
      </c>
      <c r="O47" s="68">
        <v>0</v>
      </c>
      <c r="P47" s="68" t="s">
        <v>145</v>
      </c>
      <c r="Q47" s="68" t="s">
        <v>145</v>
      </c>
      <c r="R47" s="68">
        <v>107</v>
      </c>
      <c r="S47" s="78">
        <v>17665</v>
      </c>
    </row>
    <row r="48" spans="1:19">
      <c r="A48" s="61" t="s">
        <v>107</v>
      </c>
      <c r="B48" s="61" t="s">
        <v>147</v>
      </c>
      <c r="C48" s="62"/>
      <c r="D48" s="72" t="s">
        <v>145</v>
      </c>
      <c r="E48" s="73" t="s">
        <v>145</v>
      </c>
      <c r="F48" s="73">
        <v>0.93</v>
      </c>
      <c r="G48" s="73" t="s">
        <v>145</v>
      </c>
      <c r="H48" s="73">
        <v>0.72</v>
      </c>
      <c r="I48" s="73" t="s">
        <v>145</v>
      </c>
      <c r="J48" s="73" t="s">
        <v>111</v>
      </c>
      <c r="K48" s="75">
        <v>0</v>
      </c>
      <c r="L48" s="75">
        <v>0</v>
      </c>
      <c r="M48" s="71" t="s">
        <v>111</v>
      </c>
      <c r="N48" s="75">
        <v>0</v>
      </c>
      <c r="O48" s="73">
        <v>0</v>
      </c>
      <c r="P48" s="73" t="s">
        <v>145</v>
      </c>
      <c r="Q48" s="73" t="s">
        <v>145</v>
      </c>
      <c r="R48" s="73">
        <v>71</v>
      </c>
      <c r="S48" s="79">
        <v>43148</v>
      </c>
    </row>
    <row r="49" spans="1:19">
      <c r="A49" s="59" t="s">
        <v>107</v>
      </c>
      <c r="B49" s="59" t="s">
        <v>148</v>
      </c>
      <c r="C49" s="60"/>
      <c r="D49" s="67" t="s">
        <v>145</v>
      </c>
      <c r="E49" s="68" t="s">
        <v>145</v>
      </c>
      <c r="F49" s="68">
        <v>1.8</v>
      </c>
      <c r="G49" s="68" t="s">
        <v>145</v>
      </c>
      <c r="H49" s="68">
        <v>0.26</v>
      </c>
      <c r="I49" s="68" t="s">
        <v>145</v>
      </c>
      <c r="J49" s="68" t="s">
        <v>111</v>
      </c>
      <c r="K49" s="69">
        <v>0</v>
      </c>
      <c r="L49" s="69">
        <v>0</v>
      </c>
      <c r="M49" s="66" t="s">
        <v>111</v>
      </c>
      <c r="N49" s="69">
        <v>0</v>
      </c>
      <c r="O49" s="68">
        <v>0</v>
      </c>
      <c r="P49" s="68" t="s">
        <v>145</v>
      </c>
      <c r="Q49" s="68" t="s">
        <v>145</v>
      </c>
      <c r="R49" s="68">
        <v>73</v>
      </c>
      <c r="S49" s="78">
        <v>24222</v>
      </c>
    </row>
    <row r="50" spans="1:19">
      <c r="A50" s="61" t="s">
        <v>107</v>
      </c>
      <c r="B50" s="61" t="s">
        <v>149</v>
      </c>
      <c r="C50" s="62"/>
      <c r="D50" s="72" t="s">
        <v>145</v>
      </c>
      <c r="E50" s="73" t="s">
        <v>145</v>
      </c>
      <c r="F50" s="73">
        <v>1.28</v>
      </c>
      <c r="G50" s="73" t="s">
        <v>145</v>
      </c>
      <c r="H50" s="73">
        <v>0.54</v>
      </c>
      <c r="I50" s="73" t="s">
        <v>145</v>
      </c>
      <c r="J50" s="73" t="s">
        <v>111</v>
      </c>
      <c r="K50" s="75">
        <v>0</v>
      </c>
      <c r="L50" s="75">
        <v>0</v>
      </c>
      <c r="M50" s="71" t="s">
        <v>111</v>
      </c>
      <c r="N50" s="75">
        <v>0</v>
      </c>
      <c r="O50" s="73">
        <v>0</v>
      </c>
      <c r="P50" s="73" t="s">
        <v>145</v>
      </c>
      <c r="Q50" s="73" t="s">
        <v>145</v>
      </c>
      <c r="R50" s="73">
        <v>72</v>
      </c>
      <c r="S50" s="79">
        <v>45011</v>
      </c>
    </row>
  </sheetData>
  <autoFilter ref="A2:S50"/>
  <hyperlinks>
    <hyperlink ref="A1" r:id="rId1"/>
  </hyperlinks>
  <pageMargins left="0.75" right="0.75" top="1" bottom="1" header="0.5" footer="0.5"/>
  <drawing r:id="rId2"/>
  <legacyDrawing r:id="rId3"/>
  <controls>
    <mc:AlternateContent xmlns:mc="http://schemas.openxmlformats.org/markup-compatibility/2006">
      <mc:Choice Requires="x14">
        <control shapeId="33795" r:id="rId4" name="Control 3">
          <controlPr defaultSize="0" r:id="rId5">
            <anchor moveWithCells="1">
              <from>
                <xdr:col>0</xdr:col>
                <xdr:colOff>0</xdr:colOff>
                <xdr:row>50</xdr:row>
                <xdr:rowOff>0</xdr:rowOff>
              </from>
              <to>
                <xdr:col>0</xdr:col>
                <xdr:colOff>914400</xdr:colOff>
                <xdr:row>51</xdr:row>
                <xdr:rowOff>66675</xdr:rowOff>
              </to>
            </anchor>
          </controlPr>
        </control>
      </mc:Choice>
      <mc:Fallback>
        <control shapeId="33795" r:id="rId4" name="Control 3"/>
      </mc:Fallback>
    </mc:AlternateContent>
    <mc:AlternateContent xmlns:mc="http://schemas.openxmlformats.org/markup-compatibility/2006">
      <mc:Choice Requires="x14">
        <control shapeId="33794" r:id="rId6" name="Control 2">
          <controlPr defaultSize="0" r:id="rId7">
            <anchor moveWithCells="1">
              <from>
                <xdr:col>0</xdr:col>
                <xdr:colOff>0</xdr:colOff>
                <xdr:row>50</xdr:row>
                <xdr:rowOff>0</xdr:rowOff>
              </from>
              <to>
                <xdr:col>0</xdr:col>
                <xdr:colOff>914400</xdr:colOff>
                <xdr:row>51</xdr:row>
                <xdr:rowOff>66675</xdr:rowOff>
              </to>
            </anchor>
          </controlPr>
        </control>
      </mc:Choice>
      <mc:Fallback>
        <control shapeId="33794" r:id="rId6" name="Control 2"/>
      </mc:Fallback>
    </mc:AlternateContent>
    <mc:AlternateContent xmlns:mc="http://schemas.openxmlformats.org/markup-compatibility/2006">
      <mc:Choice Requires="x14">
        <control shapeId="33793" r:id="rId8" name="Control 1">
          <controlPr defaultSize="0" r:id="rId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1</xdr:row>
                <xdr:rowOff>66675</xdr:rowOff>
              </to>
            </anchor>
          </controlPr>
        </control>
      </mc:Choice>
      <mc:Fallback>
        <control shapeId="33793" r:id="rId8" name="Control 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rightToLeft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51.5703125" style="82" bestFit="1" customWidth="1"/>
    <col min="2" max="2" width="13.140625" style="81" bestFit="1" customWidth="1"/>
    <col min="3" max="3" width="9.140625" style="81"/>
    <col min="4" max="4" width="9.140625" style="82"/>
    <col min="5" max="5" width="12.85546875" style="82" customWidth="1"/>
    <col min="6" max="6" width="9.140625" style="82"/>
    <col min="7" max="16384" width="9.140625" style="81"/>
  </cols>
  <sheetData>
    <row r="1" spans="1:7" s="65" customFormat="1" ht="25.5" customHeight="1">
      <c r="A1" s="64" t="s">
        <v>153</v>
      </c>
      <c r="B1" s="65" t="s">
        <v>154</v>
      </c>
      <c r="D1" s="106" t="s">
        <v>155</v>
      </c>
      <c r="E1" s="106"/>
      <c r="F1" s="106"/>
      <c r="G1" s="106"/>
    </row>
    <row r="2" spans="1:7">
      <c r="A2" s="80" t="s">
        <v>152</v>
      </c>
    </row>
    <row r="5" spans="1:7">
      <c r="A5" s="80" t="s">
        <v>156</v>
      </c>
      <c r="B5" s="83"/>
    </row>
    <row r="6" spans="1:7">
      <c r="D6" s="80"/>
    </row>
    <row r="8" spans="1:7">
      <c r="A8" s="80" t="s">
        <v>157</v>
      </c>
      <c r="B8" s="84"/>
    </row>
    <row r="10" spans="1:7">
      <c r="D10" s="80"/>
    </row>
    <row r="12" spans="1:7" ht="38.25">
      <c r="A12" s="80" t="s">
        <v>159</v>
      </c>
      <c r="B12" s="85"/>
    </row>
    <row r="13" spans="1:7">
      <c r="D13" s="80"/>
      <c r="E13" s="80"/>
    </row>
    <row r="14" spans="1:7">
      <c r="D14" s="80"/>
      <c r="F14" s="80"/>
    </row>
    <row r="16" spans="1:7">
      <c r="A16" s="80" t="s">
        <v>162</v>
      </c>
      <c r="B16" s="83"/>
    </row>
    <row r="17" spans="1:4">
      <c r="D17" s="80"/>
    </row>
    <row r="19" spans="1:4" ht="25.5">
      <c r="A19" s="80" t="s">
        <v>164</v>
      </c>
      <c r="B19" s="85"/>
    </row>
    <row r="20" spans="1:4">
      <c r="D20" s="80"/>
    </row>
    <row r="22" spans="1:4">
      <c r="A22" s="80" t="s">
        <v>166</v>
      </c>
      <c r="B22" s="86"/>
    </row>
    <row r="25" spans="1:4" ht="25.5">
      <c r="A25" s="80" t="s">
        <v>167</v>
      </c>
      <c r="B25" s="85"/>
    </row>
    <row r="26" spans="1:4">
      <c r="D26" s="90"/>
    </row>
  </sheetData>
  <mergeCells count="1">
    <mergeCell ref="D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rightToLeft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51.5703125" style="82" bestFit="1" customWidth="1"/>
    <col min="2" max="2" width="13.140625" style="81" bestFit="1" customWidth="1"/>
    <col min="3" max="3" width="9.140625" style="81"/>
    <col min="4" max="4" width="9.140625" style="82"/>
    <col min="5" max="5" width="12.85546875" style="82" customWidth="1"/>
    <col min="6" max="6" width="9.140625" style="82"/>
    <col min="7" max="16384" width="9.140625" style="81"/>
  </cols>
  <sheetData>
    <row r="1" spans="1:7" s="65" customFormat="1" ht="25.5" customHeight="1">
      <c r="A1" s="64" t="s">
        <v>153</v>
      </c>
      <c r="B1" s="65" t="s">
        <v>154</v>
      </c>
      <c r="D1" s="106" t="s">
        <v>155</v>
      </c>
      <c r="E1" s="106"/>
      <c r="F1" s="106"/>
      <c r="G1" s="106"/>
    </row>
    <row r="2" spans="1:7">
      <c r="A2" s="80" t="s">
        <v>152</v>
      </c>
      <c r="B2" s="81">
        <f>DCOUNTA('פוליסות פיננסיות'!$A$2:$S$50,'פוליסות פיננסיות'!$B$2,'פתרון 28-35'!D2:E3)</f>
        <v>2</v>
      </c>
      <c r="D2" s="82" t="s">
        <v>74</v>
      </c>
      <c r="E2" s="82" t="s">
        <v>76</v>
      </c>
    </row>
    <row r="3" spans="1:7">
      <c r="D3" s="82" t="s">
        <v>92</v>
      </c>
      <c r="E3" s="82" t="s">
        <v>151</v>
      </c>
    </row>
    <row r="5" spans="1:7">
      <c r="A5" s="80" t="s">
        <v>156</v>
      </c>
      <c r="B5" s="83">
        <f>DMAX('פוליסות פיננסיות'!$A$2:$S$50,'פוליסות פיננסיות'!$E$2,'פתרון 28-35'!D5:D6)</f>
        <v>0.126</v>
      </c>
      <c r="D5" s="82" t="s">
        <v>74</v>
      </c>
    </row>
    <row r="6" spans="1:7">
      <c r="D6" s="80" t="s">
        <v>94</v>
      </c>
    </row>
    <row r="8" spans="1:7">
      <c r="A8" s="80" t="s">
        <v>157</v>
      </c>
      <c r="B8" s="84">
        <f>DMIN('פוליסות פיננסיות'!$A$2:$S$50,'פוליסות פיננסיות'!$G$2,'פתרון 28-35'!D8:D10)</f>
        <v>0.93</v>
      </c>
      <c r="D8" s="82" t="s">
        <v>74</v>
      </c>
    </row>
    <row r="9" spans="1:7">
      <c r="D9" s="82" t="s">
        <v>92</v>
      </c>
    </row>
    <row r="10" spans="1:7">
      <c r="D10" s="80" t="s">
        <v>105</v>
      </c>
    </row>
    <row r="12" spans="1:7" ht="38.25">
      <c r="A12" s="80" t="s">
        <v>159</v>
      </c>
      <c r="B12" s="85">
        <f>DSUM('פוליסות פיננסיות'!$A$2:$S$50,'פוליסות פיננסיות'!$S$2,'פתרון 28-35'!D12:F14)</f>
        <v>304537</v>
      </c>
      <c r="D12" s="82" t="s">
        <v>74</v>
      </c>
      <c r="E12" s="82" t="s">
        <v>81</v>
      </c>
      <c r="F12" s="82" t="s">
        <v>84</v>
      </c>
    </row>
    <row r="13" spans="1:7">
      <c r="D13" s="80" t="s">
        <v>97</v>
      </c>
      <c r="E13" s="80" t="s">
        <v>160</v>
      </c>
    </row>
    <row r="14" spans="1:7">
      <c r="D14" s="80" t="s">
        <v>105</v>
      </c>
      <c r="F14" s="80" t="s">
        <v>161</v>
      </c>
    </row>
    <row r="16" spans="1:7">
      <c r="A16" s="80" t="s">
        <v>162</v>
      </c>
      <c r="B16" s="83">
        <f>DAVERAGE('פוליסות פיננסיות'!$A$2:$S$50,'פוליסות פיננסיות'!P2,'פתרון 28-35'!D16:D17)</f>
        <v>2.416666666666667E-2</v>
      </c>
      <c r="D16" s="82" t="s">
        <v>73</v>
      </c>
    </row>
    <row r="17" spans="1:5">
      <c r="D17" s="80" t="s">
        <v>163</v>
      </c>
    </row>
    <row r="19" spans="1:5" ht="25.5">
      <c r="A19" s="80" t="s">
        <v>164</v>
      </c>
      <c r="B19" s="85">
        <f>DSTDEVP('פוליסות פיננסיות'!$A$2:$S$50,'פוליסות פיננסיות'!$S$2,'פתרון 28-35'!D19:E20)</f>
        <v>3773</v>
      </c>
      <c r="D19" s="82" t="s">
        <v>73</v>
      </c>
      <c r="E19" s="82" t="s">
        <v>74</v>
      </c>
    </row>
    <row r="20" spans="1:5">
      <c r="D20" s="80" t="s">
        <v>165</v>
      </c>
      <c r="E20" s="82" t="s">
        <v>92</v>
      </c>
    </row>
    <row r="22" spans="1:5" ht="38.25">
      <c r="A22" s="80" t="s">
        <v>166</v>
      </c>
      <c r="B22" s="86" t="str">
        <f>DGET('פוליסות פיננסיות'!$A$2:$S$50,'פוליסות פיננסיות'!$B$2,'פתרון 28-35'!D22:D23)</f>
        <v>כלל-חסכון בטוחה תיק מנוהל-שקלי</v>
      </c>
      <c r="D22" s="82" t="s">
        <v>89</v>
      </c>
    </row>
    <row r="23" spans="1:5">
      <c r="D23" s="82">
        <v>132</v>
      </c>
    </row>
    <row r="25" spans="1:5" ht="25.5">
      <c r="A25" s="80" t="s">
        <v>167</v>
      </c>
      <c r="B25" s="85">
        <f>DVARP('פוליסות פיננסיות'!$A$2:$S$50,'פוליסות פיננסיות'!$S$2,'פתרון 28-35'!D25:D26)</f>
        <v>151157113.46000001</v>
      </c>
      <c r="D25" s="82" t="s">
        <v>76</v>
      </c>
    </row>
    <row r="26" spans="1:5" ht="38.25">
      <c r="D26" s="90" t="str">
        <f>"&lt;"&amp;AVERAGE('פוליסות פיננסיות'!E3:E50)</f>
        <v>&lt;0.0647674418604651</v>
      </c>
    </row>
  </sheetData>
  <mergeCells count="1">
    <mergeCell ref="D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6</vt:i4>
      </vt:variant>
      <vt:variant>
        <vt:lpstr>טווחים בעלי שם</vt:lpstr>
      </vt:variant>
      <vt:variant>
        <vt:i4>1</vt:i4>
      </vt:variant>
    </vt:vector>
  </HeadingPairs>
  <TitlesOfParts>
    <vt:vector size="7" baseType="lpstr">
      <vt:lpstr>1-15</vt:lpstr>
      <vt:lpstr>16-27</vt:lpstr>
      <vt:lpstr>פתרון 16-27</vt:lpstr>
      <vt:lpstr>פוליסות פיננסיות</vt:lpstr>
      <vt:lpstr>28-35</vt:lpstr>
      <vt:lpstr>פתרון 28-35</vt:lpstr>
      <vt:lpstr>'פתרון 16-27'!Extract</vt:lpstr>
    </vt:vector>
  </TitlesOfParts>
  <Company>pc2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שי שקרוב</dc:creator>
  <cp:lastModifiedBy>Shy Shakarov</cp:lastModifiedBy>
  <dcterms:created xsi:type="dcterms:W3CDTF">2001-05-22T06:09:44Z</dcterms:created>
  <dcterms:modified xsi:type="dcterms:W3CDTF">2015-03-04T15:10:15Z</dcterms:modified>
</cp:coreProperties>
</file>